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8" windowWidth="15120" windowHeight="8016"/>
  </bookViews>
  <sheets>
    <sheet name="2014" sheetId="2" r:id="rId1"/>
  </sheets>
  <calcPr calcId="144525"/>
</workbook>
</file>

<file path=xl/calcChain.xml><?xml version="1.0" encoding="utf-8"?>
<calcChain xmlns="http://schemas.openxmlformats.org/spreadsheetml/2006/main">
  <c r="D76" i="2" l="1"/>
  <c r="D1232" i="2"/>
  <c r="G1232" i="2"/>
  <c r="C1232" i="2"/>
  <c r="E1231" i="2"/>
  <c r="D961" i="2"/>
  <c r="G961" i="2"/>
  <c r="C961" i="2"/>
  <c r="E960" i="2"/>
  <c r="D849" i="2"/>
  <c r="G849" i="2"/>
  <c r="C849" i="2"/>
  <c r="E848" i="2"/>
  <c r="D636" i="2"/>
  <c r="G636" i="2"/>
  <c r="C636" i="2"/>
  <c r="E635" i="2"/>
  <c r="D315" i="2"/>
  <c r="G314" i="2"/>
  <c r="C314" i="2"/>
  <c r="C315" i="2" s="1"/>
  <c r="D262" i="2"/>
  <c r="G261" i="2"/>
  <c r="G262" i="2" s="1"/>
  <c r="C261" i="2"/>
  <c r="C262" i="2" s="1"/>
  <c r="D156" i="2"/>
  <c r="G155" i="2"/>
  <c r="G156" i="2" s="1"/>
  <c r="C155" i="2"/>
  <c r="C156" i="2" s="1"/>
  <c r="D50" i="2"/>
  <c r="F50" i="2" s="1"/>
  <c r="G49" i="2"/>
  <c r="G50" i="2" s="1"/>
  <c r="C49" i="2"/>
  <c r="C50" i="2" s="1"/>
  <c r="G19" i="2"/>
  <c r="G1539" i="2"/>
  <c r="G1536" i="2"/>
  <c r="G1526" i="2"/>
  <c r="E1526" i="2" s="1"/>
  <c r="G1524" i="2"/>
  <c r="G1520" i="2"/>
  <c r="G1488" i="2"/>
  <c r="G1474" i="2"/>
  <c r="E1474" i="2" s="1"/>
  <c r="G1472" i="2"/>
  <c r="E1472" i="2" s="1"/>
  <c r="G1468" i="2"/>
  <c r="E1468" i="2" s="1"/>
  <c r="G1441" i="2"/>
  <c r="G1434" i="2"/>
  <c r="G1419" i="2"/>
  <c r="E1419" i="2" s="1"/>
  <c r="G1417" i="2"/>
  <c r="E1417" i="2" s="1"/>
  <c r="G1412" i="2"/>
  <c r="E1412" i="2" s="1"/>
  <c r="E1381" i="2"/>
  <c r="G1379" i="2"/>
  <c r="G1365" i="2"/>
  <c r="E1365" i="2" s="1"/>
  <c r="G1363" i="2"/>
  <c r="E1363" i="2"/>
  <c r="G1359" i="2"/>
  <c r="E1359" i="2" s="1"/>
  <c r="E1328" i="2"/>
  <c r="G1326" i="2"/>
  <c r="G1323" i="2"/>
  <c r="E1322" i="2"/>
  <c r="G1312" i="2"/>
  <c r="E1312" i="2" s="1"/>
  <c r="G1310" i="2"/>
  <c r="E1310" i="2" s="1"/>
  <c r="G1306" i="2"/>
  <c r="E1306" i="2" s="1"/>
  <c r="E1275" i="2"/>
  <c r="G1273" i="2"/>
  <c r="G1270" i="2"/>
  <c r="G1269" i="2"/>
  <c r="E1269" i="2" s="1"/>
  <c r="G1260" i="2"/>
  <c r="E1260" i="2" s="1"/>
  <c r="G1258" i="2"/>
  <c r="E1258" i="2" s="1"/>
  <c r="G1254" i="2"/>
  <c r="E1254" i="2" s="1"/>
  <c r="E1230" i="2"/>
  <c r="E1232" i="2" s="1"/>
  <c r="G1226" i="2"/>
  <c r="G1220" i="2"/>
  <c r="G1205" i="2"/>
  <c r="E1205" i="2" s="1"/>
  <c r="G1203" i="2"/>
  <c r="E1203" i="2" s="1"/>
  <c r="G1198" i="2"/>
  <c r="E1198" i="2" s="1"/>
  <c r="G1166" i="2"/>
  <c r="E1162" i="2"/>
  <c r="G1151" i="2"/>
  <c r="E1151" i="2" s="1"/>
  <c r="G1149" i="2"/>
  <c r="E1149" i="2" s="1"/>
  <c r="G1145" i="2"/>
  <c r="E1145" i="2" s="1"/>
  <c r="G1118" i="2"/>
  <c r="G1111" i="2"/>
  <c r="G1097" i="2"/>
  <c r="E1097" i="2" s="1"/>
  <c r="G1095" i="2"/>
  <c r="E1095" i="2" s="1"/>
  <c r="G1090" i="2"/>
  <c r="E1090" i="2" s="1"/>
  <c r="G1062" i="2"/>
  <c r="G1056" i="2"/>
  <c r="G1042" i="2"/>
  <c r="E1042" i="2" s="1"/>
  <c r="G1040" i="2"/>
  <c r="E1040" i="2" s="1"/>
  <c r="G1035" i="2"/>
  <c r="E1035" i="2" s="1"/>
  <c r="E1003" i="2"/>
  <c r="G1001" i="2"/>
  <c r="E998" i="2"/>
  <c r="G989" i="2"/>
  <c r="E989" i="2" s="1"/>
  <c r="G987" i="2"/>
  <c r="E987" i="2" s="1"/>
  <c r="G983" i="2"/>
  <c r="E983" i="2" s="1"/>
  <c r="E959" i="2"/>
  <c r="E961" i="2" s="1"/>
  <c r="G955" i="2"/>
  <c r="G949" i="2"/>
  <c r="G935" i="2"/>
  <c r="E935" i="2" s="1"/>
  <c r="G933" i="2"/>
  <c r="E933" i="2" s="1"/>
  <c r="G928" i="2"/>
  <c r="E928" i="2" s="1"/>
  <c r="G873" i="2"/>
  <c r="G901" i="2"/>
  <c r="G894" i="2"/>
  <c r="G890" i="2"/>
  <c r="G880" i="2"/>
  <c r="E880" i="2" s="1"/>
  <c r="G878" i="2"/>
  <c r="E878" i="2" s="1"/>
  <c r="E847" i="2"/>
  <c r="E849" i="2" s="1"/>
  <c r="G843" i="2"/>
  <c r="G838" i="2"/>
  <c r="E838" i="2" s="1"/>
  <c r="G827" i="2"/>
  <c r="E827" i="2" s="1"/>
  <c r="G825" i="2"/>
  <c r="E825" i="2" s="1"/>
  <c r="G820" i="2"/>
  <c r="G790" i="2"/>
  <c r="G784" i="2"/>
  <c r="G780" i="2"/>
  <c r="E780" i="2" s="1"/>
  <c r="G770" i="2"/>
  <c r="E770" i="2" s="1"/>
  <c r="G768" i="2"/>
  <c r="E768" i="2" s="1"/>
  <c r="G763" i="2"/>
  <c r="G729" i="2"/>
  <c r="G726" i="2"/>
  <c r="E725" i="2"/>
  <c r="G716" i="2"/>
  <c r="E716" i="2" s="1"/>
  <c r="G714" i="2"/>
  <c r="E714" i="2" s="1"/>
  <c r="G710" i="2"/>
  <c r="E710" i="2" s="1"/>
  <c r="G677" i="2"/>
  <c r="G674" i="2"/>
  <c r="G664" i="2"/>
  <c r="E664" i="2" s="1"/>
  <c r="G662" i="2"/>
  <c r="E662" i="2" s="1"/>
  <c r="G658" i="2"/>
  <c r="E658" i="2" s="1"/>
  <c r="E634" i="2"/>
  <c r="E636" i="2" s="1"/>
  <c r="G630" i="2"/>
  <c r="G624" i="2"/>
  <c r="G620" i="2"/>
  <c r="G609" i="2"/>
  <c r="E609" i="2" s="1"/>
  <c r="G607" i="2"/>
  <c r="E607" i="2" s="1"/>
  <c r="G602" i="2"/>
  <c r="E602" i="2" s="1"/>
  <c r="E570" i="2"/>
  <c r="G568" i="2"/>
  <c r="G565" i="2"/>
  <c r="E564" i="2"/>
  <c r="G555" i="2"/>
  <c r="G553" i="2"/>
  <c r="E553" i="2" s="1"/>
  <c r="G549" i="2"/>
  <c r="G517" i="2"/>
  <c r="E517" i="2" s="1"/>
  <c r="G515" i="2"/>
  <c r="G512" i="2"/>
  <c r="G511" i="2"/>
  <c r="E511" i="2" s="1"/>
  <c r="G502" i="2"/>
  <c r="E502" i="2" s="1"/>
  <c r="G500" i="2"/>
  <c r="E500" i="2" s="1"/>
  <c r="G496" i="2"/>
  <c r="E496" i="2" s="1"/>
  <c r="G462" i="2"/>
  <c r="G459" i="2"/>
  <c r="G458" i="2"/>
  <c r="E458" i="2" s="1"/>
  <c r="G449" i="2"/>
  <c r="E449" i="2" s="1"/>
  <c r="G447" i="2"/>
  <c r="E447" i="2" s="1"/>
  <c r="G443" i="2"/>
  <c r="E443" i="2" s="1"/>
  <c r="G409" i="2"/>
  <c r="G406" i="2"/>
  <c r="E405" i="2"/>
  <c r="G396" i="2"/>
  <c r="G394" i="2"/>
  <c r="E394" i="2" s="1"/>
  <c r="G390" i="2"/>
  <c r="E390" i="2" s="1"/>
  <c r="G363" i="2"/>
  <c r="G359" i="2"/>
  <c r="G355" i="2"/>
  <c r="E355" i="2" s="1"/>
  <c r="G344" i="2"/>
  <c r="G342" i="2"/>
  <c r="E342" i="2" s="1"/>
  <c r="G337" i="2"/>
  <c r="E337" i="2" s="1"/>
  <c r="G309" i="2"/>
  <c r="G313" i="2"/>
  <c r="E313" i="2" s="1"/>
  <c r="G305" i="2"/>
  <c r="G301" i="2"/>
  <c r="E301" i="2" s="1"/>
  <c r="G291" i="2"/>
  <c r="G289" i="2"/>
  <c r="E289" i="2" s="1"/>
  <c r="G284" i="2"/>
  <c r="E260" i="2"/>
  <c r="G256" i="2"/>
  <c r="G252" i="2"/>
  <c r="E248" i="2"/>
  <c r="G238" i="2"/>
  <c r="G236" i="2"/>
  <c r="E236" i="2" s="1"/>
  <c r="G231" i="2"/>
  <c r="E231" i="2" s="1"/>
  <c r="E199" i="2"/>
  <c r="G197" i="2"/>
  <c r="G194" i="2"/>
  <c r="E193" i="2"/>
  <c r="G184" i="2"/>
  <c r="G182" i="2"/>
  <c r="E182" i="2" s="1"/>
  <c r="G178" i="2"/>
  <c r="E178" i="2" s="1"/>
  <c r="E154" i="2"/>
  <c r="G150" i="2"/>
  <c r="G146" i="2"/>
  <c r="E142" i="2"/>
  <c r="G132" i="2"/>
  <c r="G130" i="2"/>
  <c r="E130" i="2" s="1"/>
  <c r="G125" i="2"/>
  <c r="E125" i="2" s="1"/>
  <c r="G103" i="2"/>
  <c r="G99" i="2"/>
  <c r="G95" i="2"/>
  <c r="E91" i="2"/>
  <c r="G80" i="2"/>
  <c r="G78" i="2"/>
  <c r="E78" i="2" s="1"/>
  <c r="G73" i="2"/>
  <c r="E48" i="2"/>
  <c r="G44" i="2"/>
  <c r="G40" i="2"/>
  <c r="G26" i="2"/>
  <c r="G24" i="2"/>
  <c r="E24" i="2" s="1"/>
  <c r="D307" i="2"/>
  <c r="G1541" i="2"/>
  <c r="G1490" i="2"/>
  <c r="G1445" i="2"/>
  <c r="G1168" i="2"/>
  <c r="G1122" i="2"/>
  <c r="G1066" i="2"/>
  <c r="G905" i="2"/>
  <c r="G794" i="2"/>
  <c r="G731" i="2"/>
  <c r="G679" i="2"/>
  <c r="G411" i="2"/>
  <c r="G367" i="2"/>
  <c r="D445" i="2"/>
  <c r="D407" i="2"/>
  <c r="D1415" i="2"/>
  <c r="F1415" i="2" s="1"/>
  <c r="D1201" i="2"/>
  <c r="F1201" i="2" s="1"/>
  <c r="D1093" i="2"/>
  <c r="D1038" i="2"/>
  <c r="D931" i="2"/>
  <c r="F931" i="2" s="1"/>
  <c r="D876" i="2"/>
  <c r="F876" i="2" s="1"/>
  <c r="D823" i="2"/>
  <c r="F823" i="2" s="1"/>
  <c r="D766" i="2"/>
  <c r="F766" i="2" s="1"/>
  <c r="D605" i="2"/>
  <c r="F605" i="2" s="1"/>
  <c r="D340" i="2"/>
  <c r="F340" i="2" s="1"/>
  <c r="D287" i="2"/>
  <c r="F287" i="2" s="1"/>
  <c r="D234" i="2"/>
  <c r="F234" i="2" s="1"/>
  <c r="F76" i="2"/>
  <c r="C75" i="2"/>
  <c r="G75" i="2"/>
  <c r="E75" i="2" s="1"/>
  <c r="D1539" i="2"/>
  <c r="D1537" i="2"/>
  <c r="C1535" i="2"/>
  <c r="E1535" i="2" s="1"/>
  <c r="C1536" i="2"/>
  <c r="E1536" i="2"/>
  <c r="F1539" i="2"/>
  <c r="F1543" i="2"/>
  <c r="C1539" i="2"/>
  <c r="E1539" i="2" s="1"/>
  <c r="G1537" i="2"/>
  <c r="C1537" i="2"/>
  <c r="D1524" i="2"/>
  <c r="E1524" i="2" s="1"/>
  <c r="D1522" i="2"/>
  <c r="F1522" i="2"/>
  <c r="C1521" i="2"/>
  <c r="G1521" i="2"/>
  <c r="E1521" i="2" s="1"/>
  <c r="F1524" i="2"/>
  <c r="F1528" i="2" s="1"/>
  <c r="C1520" i="2"/>
  <c r="E1520" i="2" s="1"/>
  <c r="C1522" i="2"/>
  <c r="C1528" i="2" s="1"/>
  <c r="D1488" i="2"/>
  <c r="D1486" i="2"/>
  <c r="D1492" i="2"/>
  <c r="C1484" i="2"/>
  <c r="E1484" i="2" s="1"/>
  <c r="E1485" i="2"/>
  <c r="F1490" i="2"/>
  <c r="F1488" i="2"/>
  <c r="F1486" i="2"/>
  <c r="F1492" i="2"/>
  <c r="C1488" i="2"/>
  <c r="E1488" i="2" s="1"/>
  <c r="C1485" i="2"/>
  <c r="G1485" i="2" s="1"/>
  <c r="G1486" i="2" s="1"/>
  <c r="G1492" i="2" s="1"/>
  <c r="C1486" i="2"/>
  <c r="C1492" i="2" s="1"/>
  <c r="D1470" i="2"/>
  <c r="F1470" i="2" s="1"/>
  <c r="F1476" i="2" s="1"/>
  <c r="C1469" i="2"/>
  <c r="G1469" i="2"/>
  <c r="E1469" i="2"/>
  <c r="F1472" i="2"/>
  <c r="G1470" i="2"/>
  <c r="C1470" i="2"/>
  <c r="C1476" i="2" s="1"/>
  <c r="C1441" i="2"/>
  <c r="E1441" i="2" s="1"/>
  <c r="D1442" i="2"/>
  <c r="C1442" i="2"/>
  <c r="G1442" i="2"/>
  <c r="E1442" i="2"/>
  <c r="D1443" i="2"/>
  <c r="D1434" i="2"/>
  <c r="D1436" i="2" s="1"/>
  <c r="D1438" i="2" s="1"/>
  <c r="F1438" i="2" s="1"/>
  <c r="D1432" i="2"/>
  <c r="C1435" i="2"/>
  <c r="G1435" i="2"/>
  <c r="E1435" i="2"/>
  <c r="C1430" i="2"/>
  <c r="E1430" i="2"/>
  <c r="F1443" i="2"/>
  <c r="G1443" i="2"/>
  <c r="G1436" i="2"/>
  <c r="G1438" i="2" s="1"/>
  <c r="G1431" i="2"/>
  <c r="G1432" i="2"/>
  <c r="C1443" i="2"/>
  <c r="C1434" i="2"/>
  <c r="E1434" i="2" s="1"/>
  <c r="E1436" i="2" s="1"/>
  <c r="C1436" i="2"/>
  <c r="C1438" i="2" s="1"/>
  <c r="C1431" i="2"/>
  <c r="E1431" i="2"/>
  <c r="E1432" i="2" s="1"/>
  <c r="C1432" i="2"/>
  <c r="D1421" i="2"/>
  <c r="C1420" i="2"/>
  <c r="G1420" i="2"/>
  <c r="E1420" i="2" s="1"/>
  <c r="C1413" i="2"/>
  <c r="G1413" i="2"/>
  <c r="E1413" i="2"/>
  <c r="C1414" i="2"/>
  <c r="G1414" i="2"/>
  <c r="E1414" i="2" s="1"/>
  <c r="F1417" i="2"/>
  <c r="G1415" i="2"/>
  <c r="C1421" i="2"/>
  <c r="D1379" i="2"/>
  <c r="D1377" i="2"/>
  <c r="D1383" i="2"/>
  <c r="C1375" i="2"/>
  <c r="E1375" i="2"/>
  <c r="E1376" i="2"/>
  <c r="E1377" i="2"/>
  <c r="F1381" i="2"/>
  <c r="F1379" i="2"/>
  <c r="F1377" i="2"/>
  <c r="F1383" i="2"/>
  <c r="C1379" i="2"/>
  <c r="E1379" i="2" s="1"/>
  <c r="G1376" i="2"/>
  <c r="G1377" i="2" s="1"/>
  <c r="G1383" i="2" s="1"/>
  <c r="C1376" i="2"/>
  <c r="C1377" i="2"/>
  <c r="C1383" i="2" s="1"/>
  <c r="D1361" i="2"/>
  <c r="F1361" i="2" s="1"/>
  <c r="F1367" i="2" s="1"/>
  <c r="C1360" i="2"/>
  <c r="G1360" i="2"/>
  <c r="E1360" i="2"/>
  <c r="F1363" i="2"/>
  <c r="G1361" i="2"/>
  <c r="C1361" i="2"/>
  <c r="C1367" i="2" s="1"/>
  <c r="D1326" i="2"/>
  <c r="D1324" i="2"/>
  <c r="C1323" i="2"/>
  <c r="E1323" i="2" s="1"/>
  <c r="E1324" i="2" s="1"/>
  <c r="F1328" i="2"/>
  <c r="F1326" i="2"/>
  <c r="C1326" i="2"/>
  <c r="G1324" i="2"/>
  <c r="D1308" i="2"/>
  <c r="F1308" i="2" s="1"/>
  <c r="F1314" i="2" s="1"/>
  <c r="C1307" i="2"/>
  <c r="G1307" i="2"/>
  <c r="E1307" i="2"/>
  <c r="F1310" i="2"/>
  <c r="G1308" i="2"/>
  <c r="C1308" i="2"/>
  <c r="C1314" i="2" s="1"/>
  <c r="D1273" i="2"/>
  <c r="F1273" i="2" s="1"/>
  <c r="D1271" i="2"/>
  <c r="F1275" i="2"/>
  <c r="F1271" i="2"/>
  <c r="C1273" i="2"/>
  <c r="C1270" i="2"/>
  <c r="E1270" i="2" s="1"/>
  <c r="G1271" i="2"/>
  <c r="C1271" i="2"/>
  <c r="D1256" i="2"/>
  <c r="F1256" i="2"/>
  <c r="F1258" i="2"/>
  <c r="F1262" i="2"/>
  <c r="G1255" i="2"/>
  <c r="G1256" i="2"/>
  <c r="C1255" i="2"/>
  <c r="E1255" i="2"/>
  <c r="C1256" i="2"/>
  <c r="C1262" i="2"/>
  <c r="D1227" i="2"/>
  <c r="D1228" i="2"/>
  <c r="D1222" i="2"/>
  <c r="D1216" i="2"/>
  <c r="E1216" i="2" s="1"/>
  <c r="C1227" i="2"/>
  <c r="G1227" i="2"/>
  <c r="E1227" i="2" s="1"/>
  <c r="C1221" i="2"/>
  <c r="G1221" i="2"/>
  <c r="E1221" i="2"/>
  <c r="C1217" i="2"/>
  <c r="G1217" i="2"/>
  <c r="E1217" i="2" s="1"/>
  <c r="F1228" i="2"/>
  <c r="C1226" i="2"/>
  <c r="E1226" i="2" s="1"/>
  <c r="G1222" i="2"/>
  <c r="C1220" i="2"/>
  <c r="E1220" i="2" s="1"/>
  <c r="E1222" i="2" s="1"/>
  <c r="C1218" i="2"/>
  <c r="D1207" i="2"/>
  <c r="C1206" i="2"/>
  <c r="G1206" i="2"/>
  <c r="E1206" i="2" s="1"/>
  <c r="C1199" i="2"/>
  <c r="G1199" i="2"/>
  <c r="E1199" i="2"/>
  <c r="C1200" i="2"/>
  <c r="G1200" i="2"/>
  <c r="E1200" i="2" s="1"/>
  <c r="F1203" i="2"/>
  <c r="G1201" i="2"/>
  <c r="C1207" i="2"/>
  <c r="D1164" i="2"/>
  <c r="D1170" i="2"/>
  <c r="C1166" i="2"/>
  <c r="E1166" i="2" s="1"/>
  <c r="E1163" i="2"/>
  <c r="E1164" i="2" s="1"/>
  <c r="F1168" i="2"/>
  <c r="F1166" i="2"/>
  <c r="F1164" i="2"/>
  <c r="C1163" i="2"/>
  <c r="G1163" i="2"/>
  <c r="G1164" i="2" s="1"/>
  <c r="C1164" i="2"/>
  <c r="G1152" i="2"/>
  <c r="G1153" i="2"/>
  <c r="G1146" i="2"/>
  <c r="G1147" i="2"/>
  <c r="D1153" i="2"/>
  <c r="D1147" i="2"/>
  <c r="F1147" i="2" s="1"/>
  <c r="C1152" i="2"/>
  <c r="E1152" i="2" s="1"/>
  <c r="C1146" i="2"/>
  <c r="E1146" i="2" s="1"/>
  <c r="F1149" i="2"/>
  <c r="C1147" i="2"/>
  <c r="D1119" i="2"/>
  <c r="D1120" i="2"/>
  <c r="F1120" i="2" s="1"/>
  <c r="D1113" i="2"/>
  <c r="D1109" i="2"/>
  <c r="D1115" i="2"/>
  <c r="F1115" i="2" s="1"/>
  <c r="E1119" i="2"/>
  <c r="C1107" i="2"/>
  <c r="E1107" i="2"/>
  <c r="C1108" i="2"/>
  <c r="G1108" i="2"/>
  <c r="E1108" i="2" s="1"/>
  <c r="E1109" i="2" s="1"/>
  <c r="F1122" i="2"/>
  <c r="C1118" i="2"/>
  <c r="E1118" i="2" s="1"/>
  <c r="E1120" i="2" s="1"/>
  <c r="G1120" i="2"/>
  <c r="C1111" i="2"/>
  <c r="E1111" i="2" s="1"/>
  <c r="E1113" i="2" s="1"/>
  <c r="G1113" i="2"/>
  <c r="G1109" i="2"/>
  <c r="G1115" i="2" s="1"/>
  <c r="C1120" i="2"/>
  <c r="C1109" i="2"/>
  <c r="F1109" i="2"/>
  <c r="D1099" i="2"/>
  <c r="C1098" i="2"/>
  <c r="C1099" i="2" s="1"/>
  <c r="G1098" i="2"/>
  <c r="E1098" i="2"/>
  <c r="C1091" i="2"/>
  <c r="G1091" i="2"/>
  <c r="E1091" i="2" s="1"/>
  <c r="C1092" i="2"/>
  <c r="G1092" i="2"/>
  <c r="E1092" i="2"/>
  <c r="F1095" i="2"/>
  <c r="G1099" i="2"/>
  <c r="D1063" i="2"/>
  <c r="D1064" i="2" s="1"/>
  <c r="F1064" i="2" s="1"/>
  <c r="D1058" i="2"/>
  <c r="D1060" i="2" s="1"/>
  <c r="F1060" i="2" s="1"/>
  <c r="D1052" i="2"/>
  <c r="D1054" i="2"/>
  <c r="C1062" i="2"/>
  <c r="E1062" i="2" s="1"/>
  <c r="C1063" i="2"/>
  <c r="C1064" i="2" s="1"/>
  <c r="C1057" i="2"/>
  <c r="G1057" i="2"/>
  <c r="E1057" i="2" s="1"/>
  <c r="C1052" i="2"/>
  <c r="E1052" i="2" s="1"/>
  <c r="C1053" i="2"/>
  <c r="G1053" i="2"/>
  <c r="E1053" i="2" s="1"/>
  <c r="F1066" i="2"/>
  <c r="C1056" i="2"/>
  <c r="E1056" i="2" s="1"/>
  <c r="G1058" i="2"/>
  <c r="C1058" i="2"/>
  <c r="D1044" i="2"/>
  <c r="C1043" i="2"/>
  <c r="C1044" i="2" s="1"/>
  <c r="G1043" i="2"/>
  <c r="E1043" i="2"/>
  <c r="C1036" i="2"/>
  <c r="G1036" i="2"/>
  <c r="E1036" i="2" s="1"/>
  <c r="C1037" i="2"/>
  <c r="G1037" i="2"/>
  <c r="E1037" i="2"/>
  <c r="F1040" i="2"/>
  <c r="G1044" i="2"/>
  <c r="D1001" i="2"/>
  <c r="F1001" i="2" s="1"/>
  <c r="F1003" i="2"/>
  <c r="C1001" i="2"/>
  <c r="D985" i="2"/>
  <c r="F985" i="2" s="1"/>
  <c r="C984" i="2"/>
  <c r="G984" i="2"/>
  <c r="E984" i="2"/>
  <c r="F987" i="2"/>
  <c r="F991" i="2"/>
  <c r="G985" i="2"/>
  <c r="C985" i="2"/>
  <c r="C991" i="2" s="1"/>
  <c r="D956" i="2"/>
  <c r="D957" i="2" s="1"/>
  <c r="D951" i="2"/>
  <c r="D947" i="2"/>
  <c r="C955" i="2"/>
  <c r="E955" i="2" s="1"/>
  <c r="C956" i="2"/>
  <c r="G956" i="2"/>
  <c r="E956" i="2" s="1"/>
  <c r="C949" i="2"/>
  <c r="E949" i="2" s="1"/>
  <c r="C950" i="2"/>
  <c r="G950" i="2"/>
  <c r="E950" i="2"/>
  <c r="C945" i="2"/>
  <c r="E945" i="2" s="1"/>
  <c r="C946" i="2"/>
  <c r="C947" i="2" s="1"/>
  <c r="C953" i="2" s="1"/>
  <c r="G946" i="2"/>
  <c r="E946" i="2"/>
  <c r="F957" i="2"/>
  <c r="G957" i="2"/>
  <c r="G951" i="2"/>
  <c r="G947" i="2"/>
  <c r="C957" i="2"/>
  <c r="C951" i="2"/>
  <c r="D937" i="2"/>
  <c r="C936" i="2"/>
  <c r="G936" i="2"/>
  <c r="E936" i="2"/>
  <c r="C929" i="2"/>
  <c r="G929" i="2"/>
  <c r="E929" i="2" s="1"/>
  <c r="E931" i="2" s="1"/>
  <c r="C930" i="2"/>
  <c r="G930" i="2"/>
  <c r="E930" i="2"/>
  <c r="F933" i="2"/>
  <c r="G937" i="2"/>
  <c r="C937" i="2"/>
  <c r="D902" i="2"/>
  <c r="D903" i="2" s="1"/>
  <c r="D896" i="2"/>
  <c r="D892" i="2"/>
  <c r="D898" i="2"/>
  <c r="C902" i="2"/>
  <c r="G902" i="2"/>
  <c r="E902" i="2"/>
  <c r="C895" i="2"/>
  <c r="G895" i="2"/>
  <c r="E895" i="2" s="1"/>
  <c r="C890" i="2"/>
  <c r="E890" i="2" s="1"/>
  <c r="C901" i="2"/>
  <c r="E901" i="2" s="1"/>
  <c r="E903" i="2" s="1"/>
  <c r="G903" i="2"/>
  <c r="C894" i="2"/>
  <c r="E894" i="2" s="1"/>
  <c r="G896" i="2"/>
  <c r="G891" i="2"/>
  <c r="G892" i="2" s="1"/>
  <c r="G898" i="2" s="1"/>
  <c r="G906" i="2" s="1"/>
  <c r="C903" i="2"/>
  <c r="C896" i="2"/>
  <c r="C891" i="2"/>
  <c r="E891" i="2" s="1"/>
  <c r="C892" i="2"/>
  <c r="C898" i="2" s="1"/>
  <c r="C906" i="2" s="1"/>
  <c r="D882" i="2"/>
  <c r="C881" i="2"/>
  <c r="G881" i="2"/>
  <c r="E881" i="2"/>
  <c r="C874" i="2"/>
  <c r="G874" i="2"/>
  <c r="E874" i="2" s="1"/>
  <c r="E876" i="2" s="1"/>
  <c r="C875" i="2"/>
  <c r="G875" i="2"/>
  <c r="E875" i="2"/>
  <c r="G882" i="2"/>
  <c r="C873" i="2"/>
  <c r="E873" i="2" s="1"/>
  <c r="G876" i="2"/>
  <c r="C882" i="2"/>
  <c r="D843" i="2"/>
  <c r="D844" i="2"/>
  <c r="D845" i="2" s="1"/>
  <c r="F845" i="2" s="1"/>
  <c r="D840" i="2"/>
  <c r="G844" i="2"/>
  <c r="C839" i="2"/>
  <c r="G839" i="2"/>
  <c r="E839" i="2"/>
  <c r="G845" i="2"/>
  <c r="G840" i="2"/>
  <c r="C843" i="2"/>
  <c r="E843" i="2" s="1"/>
  <c r="C840" i="2"/>
  <c r="D829" i="2"/>
  <c r="D831" i="2"/>
  <c r="C828" i="2"/>
  <c r="G828" i="2"/>
  <c r="E828" i="2" s="1"/>
  <c r="C821" i="2"/>
  <c r="G821" i="2"/>
  <c r="E821" i="2"/>
  <c r="C822" i="2"/>
  <c r="G822" i="2"/>
  <c r="E822" i="2" s="1"/>
  <c r="E823" i="2" s="1"/>
  <c r="F825" i="2"/>
  <c r="C820" i="2"/>
  <c r="E820" i="2" s="1"/>
  <c r="G823" i="2"/>
  <c r="C829" i="2"/>
  <c r="C790" i="2"/>
  <c r="D790" i="2"/>
  <c r="D791" i="2"/>
  <c r="G791" i="2"/>
  <c r="G792" i="2" s="1"/>
  <c r="G795" i="2" s="1"/>
  <c r="D792" i="2"/>
  <c r="D786" i="2"/>
  <c r="D782" i="2"/>
  <c r="D788" i="2" s="1"/>
  <c r="C791" i="2"/>
  <c r="E791" i="2"/>
  <c r="C785" i="2"/>
  <c r="G785" i="2"/>
  <c r="E785" i="2" s="1"/>
  <c r="C781" i="2"/>
  <c r="G781" i="2"/>
  <c r="E781" i="2"/>
  <c r="F792" i="2"/>
  <c r="G786" i="2"/>
  <c r="G782" i="2"/>
  <c r="G788" i="2"/>
  <c r="C792" i="2"/>
  <c r="C784" i="2"/>
  <c r="E784" i="2" s="1"/>
  <c r="C782" i="2"/>
  <c r="D772" i="2"/>
  <c r="G771" i="2"/>
  <c r="C771" i="2"/>
  <c r="C772" i="2" s="1"/>
  <c r="C773" i="2" s="1"/>
  <c r="G765" i="2"/>
  <c r="C765" i="2"/>
  <c r="E765" i="2"/>
  <c r="G764" i="2"/>
  <c r="C764" i="2"/>
  <c r="E764" i="2" s="1"/>
  <c r="D712" i="2"/>
  <c r="F712" i="2" s="1"/>
  <c r="F718" i="2" s="1"/>
  <c r="G711" i="2"/>
  <c r="C711" i="2"/>
  <c r="C712" i="2"/>
  <c r="C718" i="2" s="1"/>
  <c r="D660" i="2"/>
  <c r="F660" i="2" s="1"/>
  <c r="F666" i="2" s="1"/>
  <c r="G659" i="2"/>
  <c r="C659" i="2"/>
  <c r="C660" i="2"/>
  <c r="C666" i="2" s="1"/>
  <c r="D631" i="2"/>
  <c r="G631" i="2" s="1"/>
  <c r="G632" i="2" s="1"/>
  <c r="D622" i="2"/>
  <c r="G625" i="2"/>
  <c r="G621" i="2"/>
  <c r="C625" i="2"/>
  <c r="E625" i="2"/>
  <c r="C621" i="2"/>
  <c r="E621" i="2"/>
  <c r="D611" i="2"/>
  <c r="D613" i="2"/>
  <c r="G610" i="2"/>
  <c r="C610" i="2"/>
  <c r="C611" i="2" s="1"/>
  <c r="C613" i="2" s="1"/>
  <c r="G604" i="2"/>
  <c r="C604" i="2"/>
  <c r="E604" i="2"/>
  <c r="G603" i="2"/>
  <c r="C603" i="2"/>
  <c r="C605" i="2" s="1"/>
  <c r="G550" i="2"/>
  <c r="C550" i="2"/>
  <c r="E550" i="2"/>
  <c r="D498" i="2"/>
  <c r="F498" i="2"/>
  <c r="G497" i="2"/>
  <c r="C497" i="2"/>
  <c r="C498" i="2" s="1"/>
  <c r="C504" i="2" s="1"/>
  <c r="F445" i="2"/>
  <c r="G444" i="2"/>
  <c r="C444" i="2"/>
  <c r="C445" i="2"/>
  <c r="C451" i="2" s="1"/>
  <c r="D392" i="2"/>
  <c r="F392" i="2" s="1"/>
  <c r="F398" i="2" s="1"/>
  <c r="G391" i="2"/>
  <c r="C391" i="2"/>
  <c r="C392" i="2"/>
  <c r="G364" i="2"/>
  <c r="C364" i="2"/>
  <c r="E364" i="2" s="1"/>
  <c r="D361" i="2"/>
  <c r="D357" i="2"/>
  <c r="G360" i="2"/>
  <c r="C360" i="2"/>
  <c r="E360" i="2"/>
  <c r="G356" i="2"/>
  <c r="G357" i="2"/>
  <c r="C356" i="2"/>
  <c r="C357" i="2"/>
  <c r="G345" i="2"/>
  <c r="C345" i="2"/>
  <c r="E345" i="2" s="1"/>
  <c r="G339" i="2"/>
  <c r="C339" i="2"/>
  <c r="E339" i="2"/>
  <c r="G338" i="2"/>
  <c r="C338" i="2"/>
  <c r="C340" i="2" s="1"/>
  <c r="D303" i="2"/>
  <c r="G302" i="2"/>
  <c r="G303" i="2"/>
  <c r="G306" i="2"/>
  <c r="C306" i="2"/>
  <c r="E306" i="2" s="1"/>
  <c r="E307" i="2" s="1"/>
  <c r="C302" i="2"/>
  <c r="C303" i="2" s="1"/>
  <c r="G292" i="2"/>
  <c r="C292" i="2"/>
  <c r="E292" i="2"/>
  <c r="G286" i="2"/>
  <c r="C286" i="2"/>
  <c r="E286" i="2" s="1"/>
  <c r="G285" i="2"/>
  <c r="C285" i="2"/>
  <c r="E285" i="2"/>
  <c r="G257" i="2"/>
  <c r="C257" i="2"/>
  <c r="E257" i="2" s="1"/>
  <c r="D254" i="2"/>
  <c r="D250" i="2"/>
  <c r="G253" i="2"/>
  <c r="G249" i="2"/>
  <c r="C253" i="2"/>
  <c r="E253" i="2" s="1"/>
  <c r="C249" i="2"/>
  <c r="C250" i="2" s="1"/>
  <c r="G239" i="2"/>
  <c r="C239" i="2"/>
  <c r="E239" i="2"/>
  <c r="G233" i="2"/>
  <c r="G232" i="2"/>
  <c r="C233" i="2"/>
  <c r="E233" i="2"/>
  <c r="C232" i="2"/>
  <c r="C234" i="2"/>
  <c r="G179" i="2"/>
  <c r="C179" i="2"/>
  <c r="C180" i="2" s="1"/>
  <c r="C186" i="2" s="1"/>
  <c r="G151" i="2"/>
  <c r="C151" i="2"/>
  <c r="E151" i="2"/>
  <c r="D144" i="2"/>
  <c r="D148" i="2"/>
  <c r="G147" i="2"/>
  <c r="G143" i="2"/>
  <c r="G144" i="2" s="1"/>
  <c r="C147" i="2"/>
  <c r="E147" i="2" s="1"/>
  <c r="C143" i="2"/>
  <c r="C144" i="2" s="1"/>
  <c r="G133" i="2"/>
  <c r="C133" i="2"/>
  <c r="E133" i="2"/>
  <c r="G127" i="2"/>
  <c r="C127" i="2"/>
  <c r="E127" i="2" s="1"/>
  <c r="G126" i="2"/>
  <c r="E126" i="2" s="1"/>
  <c r="C126" i="2"/>
  <c r="C128" i="2"/>
  <c r="G81" i="2"/>
  <c r="G100" i="2"/>
  <c r="C100" i="2"/>
  <c r="E100" i="2" s="1"/>
  <c r="D97" i="2"/>
  <c r="D93" i="2"/>
  <c r="G96" i="2"/>
  <c r="G92" i="2"/>
  <c r="C96" i="2"/>
  <c r="E96" i="2" s="1"/>
  <c r="C92" i="2"/>
  <c r="E92" i="2" s="1"/>
  <c r="E93" i="2" s="1"/>
  <c r="C81" i="2"/>
  <c r="E81" i="2" s="1"/>
  <c r="G74" i="2"/>
  <c r="C74" i="2"/>
  <c r="E74" i="2"/>
  <c r="D42" i="2"/>
  <c r="D38" i="2"/>
  <c r="G41" i="2"/>
  <c r="C41" i="2"/>
  <c r="E41" i="2" s="1"/>
  <c r="G37" i="2"/>
  <c r="G38" i="2" s="1"/>
  <c r="C37" i="2"/>
  <c r="C38" i="2"/>
  <c r="G27" i="2"/>
  <c r="C27" i="2"/>
  <c r="E27" i="2" s="1"/>
  <c r="C20" i="2"/>
  <c r="E20" i="2" s="1"/>
  <c r="G21" i="2"/>
  <c r="G20" i="2"/>
  <c r="C21" i="2"/>
  <c r="E21" i="2" s="1"/>
  <c r="C673" i="2"/>
  <c r="E673" i="2" s="1"/>
  <c r="C620" i="2"/>
  <c r="E620" i="2" s="1"/>
  <c r="E622" i="2" s="1"/>
  <c r="G622" i="2"/>
  <c r="C729" i="2"/>
  <c r="D729" i="2"/>
  <c r="F729" i="2" s="1"/>
  <c r="C726" i="2"/>
  <c r="E726" i="2" s="1"/>
  <c r="E727" i="2" s="1"/>
  <c r="G727" i="2"/>
  <c r="C677" i="2"/>
  <c r="D677" i="2"/>
  <c r="F677" i="2" s="1"/>
  <c r="D674" i="2"/>
  <c r="D675" i="2" s="1"/>
  <c r="D681" i="2" s="1"/>
  <c r="G626" i="2"/>
  <c r="G628" i="2" s="1"/>
  <c r="C624" i="2"/>
  <c r="C626" i="2" s="1"/>
  <c r="C628" i="2" s="1"/>
  <c r="F411" i="2"/>
  <c r="F367" i="2"/>
  <c r="F103" i="2"/>
  <c r="F679" i="2"/>
  <c r="F878" i="2"/>
  <c r="C763" i="2"/>
  <c r="E763" i="2" s="1"/>
  <c r="C766" i="2"/>
  <c r="G766" i="2"/>
  <c r="F768" i="2"/>
  <c r="G712" i="2"/>
  <c r="F714" i="2"/>
  <c r="F716" i="2"/>
  <c r="G660" i="2"/>
  <c r="G666" i="2"/>
  <c r="F662" i="2"/>
  <c r="G605" i="2"/>
  <c r="G611" i="2"/>
  <c r="C630" i="2"/>
  <c r="D630" i="2"/>
  <c r="D632" i="2" s="1"/>
  <c r="F632" i="2" s="1"/>
  <c r="D624" i="2"/>
  <c r="D626" i="2"/>
  <c r="D628" i="2" s="1"/>
  <c r="F628" i="2" s="1"/>
  <c r="F607" i="2"/>
  <c r="D727" i="2"/>
  <c r="F727" i="2" s="1"/>
  <c r="C727" i="2"/>
  <c r="C19" i="2"/>
  <c r="C22" i="2" s="1"/>
  <c r="C73" i="2"/>
  <c r="E73" i="2" s="1"/>
  <c r="E76" i="2" s="1"/>
  <c r="G128" i="2"/>
  <c r="G180" i="2"/>
  <c r="G234" i="2"/>
  <c r="C284" i="2"/>
  <c r="E284" i="2" s="1"/>
  <c r="C287" i="2"/>
  <c r="G287" i="2"/>
  <c r="G340" i="2"/>
  <c r="G392" i="2"/>
  <c r="G445" i="2"/>
  <c r="F570" i="2"/>
  <c r="D568" i="2"/>
  <c r="F568" i="2" s="1"/>
  <c r="F572" i="2" s="1"/>
  <c r="C568" i="2"/>
  <c r="E568" i="2" s="1"/>
  <c r="G551" i="2"/>
  <c r="C549" i="2"/>
  <c r="E549" i="2" s="1"/>
  <c r="E551" i="2" s="1"/>
  <c r="G498" i="2"/>
  <c r="F517" i="2"/>
  <c r="D515" i="2"/>
  <c r="F515" i="2" s="1"/>
  <c r="C515" i="2"/>
  <c r="D462" i="2"/>
  <c r="F462" i="2" s="1"/>
  <c r="C462" i="2"/>
  <c r="E462" i="2" s="1"/>
  <c r="F464" i="2"/>
  <c r="C464" i="2"/>
  <c r="E464" i="2" s="1"/>
  <c r="C409" i="2"/>
  <c r="D409" i="2"/>
  <c r="F409" i="2" s="1"/>
  <c r="F413" i="2" s="1"/>
  <c r="G365" i="2"/>
  <c r="D363" i="2"/>
  <c r="C363" i="2"/>
  <c r="E363" i="2" s="1"/>
  <c r="C309" i="2"/>
  <c r="D310" i="2"/>
  <c r="G310" i="2"/>
  <c r="G311" i="2" s="1"/>
  <c r="D309" i="2"/>
  <c r="G258" i="2"/>
  <c r="C256" i="2"/>
  <c r="C258" i="2" s="1"/>
  <c r="D256" i="2"/>
  <c r="F199" i="2"/>
  <c r="D197" i="2"/>
  <c r="F197" i="2" s="1"/>
  <c r="F201" i="2" s="1"/>
  <c r="C197" i="2"/>
  <c r="E197" i="2" s="1"/>
  <c r="C150" i="2"/>
  <c r="C152" i="2"/>
  <c r="G152" i="2"/>
  <c r="D150" i="2"/>
  <c r="C44" i="2"/>
  <c r="C99" i="2"/>
  <c r="C101" i="2" s="1"/>
  <c r="D99" i="2"/>
  <c r="G101" i="2"/>
  <c r="G566" i="2"/>
  <c r="C565" i="2"/>
  <c r="E565" i="2" s="1"/>
  <c r="E566" i="2" s="1"/>
  <c r="C566" i="2"/>
  <c r="F565" i="2"/>
  <c r="G513" i="2"/>
  <c r="C512" i="2"/>
  <c r="E512" i="2" s="1"/>
  <c r="C513" i="2"/>
  <c r="F512" i="2"/>
  <c r="G460" i="2"/>
  <c r="G466" i="2" s="1"/>
  <c r="C459" i="2"/>
  <c r="E459" i="2" s="1"/>
  <c r="F459" i="2"/>
  <c r="G407" i="2"/>
  <c r="G413" i="2" s="1"/>
  <c r="C406" i="2"/>
  <c r="E406" i="2" s="1"/>
  <c r="F406" i="2"/>
  <c r="F407" i="2"/>
  <c r="G361" i="2"/>
  <c r="C359" i="2"/>
  <c r="E359" i="2" s="1"/>
  <c r="E361" i="2" s="1"/>
  <c r="C361" i="2"/>
  <c r="F361" i="2"/>
  <c r="F357" i="2"/>
  <c r="C305" i="2"/>
  <c r="E305" i="2" s="1"/>
  <c r="G307" i="2"/>
  <c r="C307" i="2"/>
  <c r="F307" i="2"/>
  <c r="F303" i="2"/>
  <c r="G254" i="2"/>
  <c r="G250" i="2"/>
  <c r="C252" i="2"/>
  <c r="E252" i="2" s="1"/>
  <c r="C254" i="2"/>
  <c r="F254" i="2"/>
  <c r="F250" i="2"/>
  <c r="C194" i="2"/>
  <c r="E194" i="2" s="1"/>
  <c r="E195" i="2" s="1"/>
  <c r="G195" i="2"/>
  <c r="F194" i="2"/>
  <c r="G148" i="2"/>
  <c r="C146" i="2"/>
  <c r="E146" i="2" s="1"/>
  <c r="C148" i="2"/>
  <c r="F148" i="2"/>
  <c r="F144" i="2"/>
  <c r="F97" i="2"/>
  <c r="F93" i="2"/>
  <c r="F38" i="2"/>
  <c r="G97" i="2"/>
  <c r="G93" i="2"/>
  <c r="C95" i="2"/>
  <c r="E95" i="2" s="1"/>
  <c r="C97" i="2"/>
  <c r="C555" i="2"/>
  <c r="E555" i="2" s="1"/>
  <c r="F553" i="2"/>
  <c r="F500" i="2"/>
  <c r="F504" i="2"/>
  <c r="F447" i="2"/>
  <c r="F451" i="2"/>
  <c r="C396" i="2"/>
  <c r="E396" i="2" s="1"/>
  <c r="C398" i="2"/>
  <c r="F394" i="2"/>
  <c r="C344" i="2"/>
  <c r="E344" i="2" s="1"/>
  <c r="C346" i="2"/>
  <c r="C348" i="2" s="1"/>
  <c r="G346" i="2"/>
  <c r="F342" i="2"/>
  <c r="C291" i="2"/>
  <c r="E291" i="2" s="1"/>
  <c r="E293" i="2" s="1"/>
  <c r="G293" i="2"/>
  <c r="F289" i="2"/>
  <c r="G240" i="2"/>
  <c r="C238" i="2"/>
  <c r="E238" i="2" s="1"/>
  <c r="E240" i="2" s="1"/>
  <c r="F236" i="2"/>
  <c r="F566" i="2"/>
  <c r="D566" i="2"/>
  <c r="D551" i="2"/>
  <c r="F551" i="2" s="1"/>
  <c r="F557" i="2" s="1"/>
  <c r="F513" i="2"/>
  <c r="D513" i="2"/>
  <c r="F460" i="2"/>
  <c r="F466" i="2" s="1"/>
  <c r="D460" i="2"/>
  <c r="D466" i="2" s="1"/>
  <c r="D365" i="2"/>
  <c r="D368" i="2" s="1"/>
  <c r="F365" i="2"/>
  <c r="D346" i="2"/>
  <c r="D311" i="2"/>
  <c r="F311" i="2" s="1"/>
  <c r="D293" i="2"/>
  <c r="D258" i="2"/>
  <c r="F258" i="2"/>
  <c r="D240" i="2"/>
  <c r="C184" i="2"/>
  <c r="E184" i="2" s="1"/>
  <c r="D180" i="2"/>
  <c r="F180" i="2"/>
  <c r="F182" i="2"/>
  <c r="F195" i="2"/>
  <c r="D195" i="2"/>
  <c r="C132" i="2"/>
  <c r="E132" i="2" s="1"/>
  <c r="E134" i="2" s="1"/>
  <c r="G134" i="2"/>
  <c r="G135" i="2"/>
  <c r="D128" i="2"/>
  <c r="F128" i="2"/>
  <c r="F130" i="2"/>
  <c r="F135" i="2"/>
  <c r="D152" i="2"/>
  <c r="F152" i="2"/>
  <c r="D134" i="2"/>
  <c r="D135" i="2"/>
  <c r="G82" i="2"/>
  <c r="C80" i="2"/>
  <c r="C82" i="2" s="1"/>
  <c r="D80" i="2"/>
  <c r="D82" i="2" s="1"/>
  <c r="D84" i="2" s="1"/>
  <c r="F78" i="2"/>
  <c r="D101" i="2"/>
  <c r="F101" i="2" s="1"/>
  <c r="F104" i="2" s="1"/>
  <c r="D45" i="2"/>
  <c r="G45" i="2" s="1"/>
  <c r="E45" i="2" s="1"/>
  <c r="D44" i="2"/>
  <c r="D46" i="2" s="1"/>
  <c r="F46" i="2" s="1"/>
  <c r="F42" i="2"/>
  <c r="C40" i="2"/>
  <c r="E40" i="2" s="1"/>
  <c r="C42" i="2"/>
  <c r="F24" i="2"/>
  <c r="D19" i="2"/>
  <c r="D22" i="2" s="1"/>
  <c r="C26" i="2"/>
  <c r="C28" i="2"/>
  <c r="D26" i="2"/>
  <c r="E771" i="2"/>
  <c r="D413" i="2"/>
  <c r="G201" i="2"/>
  <c r="D201" i="2"/>
  <c r="G186" i="2"/>
  <c r="E391" i="2"/>
  <c r="E444" i="2"/>
  <c r="E497" i="2"/>
  <c r="E603" i="2"/>
  <c r="E610" i="2"/>
  <c r="C622" i="2"/>
  <c r="C631" i="2"/>
  <c r="E631" i="2" s="1"/>
  <c r="E659" i="2"/>
  <c r="C674" i="2"/>
  <c r="E674" i="2" s="1"/>
  <c r="G675" i="2"/>
  <c r="C675" i="2"/>
  <c r="E711" i="2"/>
  <c r="D186" i="2"/>
  <c r="E232" i="2"/>
  <c r="E249" i="2"/>
  <c r="E250" i="2" s="1"/>
  <c r="E302" i="2"/>
  <c r="C310" i="2"/>
  <c r="E338" i="2"/>
  <c r="E356" i="2"/>
  <c r="G104" i="2"/>
  <c r="D104" i="2"/>
  <c r="E143" i="2"/>
  <c r="E144" i="2" s="1"/>
  <c r="E179" i="2"/>
  <c r="E180" i="2" s="1"/>
  <c r="E186" i="2" s="1"/>
  <c r="E37" i="2"/>
  <c r="E38" i="2" s="1"/>
  <c r="C45" i="2"/>
  <c r="G772" i="2"/>
  <c r="E675" i="2"/>
  <c r="C632" i="2"/>
  <c r="E310" i="2"/>
  <c r="C311" i="2"/>
  <c r="C46" i="2"/>
  <c r="E445" i="2"/>
  <c r="F1124" i="2"/>
  <c r="C1415" i="2"/>
  <c r="C1423" i="2"/>
  <c r="E1415" i="2"/>
  <c r="C1447" i="2"/>
  <c r="G1447" i="2"/>
  <c r="F1447" i="2"/>
  <c r="D1447" i="2"/>
  <c r="G1476" i="2"/>
  <c r="D1528" i="2"/>
  <c r="G1543" i="2"/>
  <c r="C1543" i="2"/>
  <c r="D1543" i="2"/>
  <c r="C1201" i="2"/>
  <c r="C1209" i="2"/>
  <c r="E1201" i="2"/>
  <c r="G1262" i="2"/>
  <c r="G1277" i="2"/>
  <c r="C1277" i="2"/>
  <c r="F1277" i="2"/>
  <c r="D1277" i="2"/>
  <c r="G1314" i="2"/>
  <c r="G1330" i="2"/>
  <c r="F1330" i="2"/>
  <c r="D1330" i="2"/>
  <c r="G1367" i="2"/>
  <c r="F1423" i="2"/>
  <c r="D1476" i="2"/>
  <c r="D1423" i="2"/>
  <c r="C1093" i="2"/>
  <c r="F1093" i="2"/>
  <c r="F1100" i="2" s="1"/>
  <c r="E1093" i="2"/>
  <c r="G1124" i="2"/>
  <c r="D1155" i="2"/>
  <c r="G1155" i="2"/>
  <c r="F1170" i="2"/>
  <c r="E1170" i="2"/>
  <c r="G1170" i="2"/>
  <c r="C1170" i="2"/>
  <c r="F1209" i="2"/>
  <c r="D1262" i="2"/>
  <c r="D1314" i="2"/>
  <c r="D1367" i="2"/>
  <c r="D1209" i="2"/>
  <c r="C1038" i="2"/>
  <c r="C1045" i="2"/>
  <c r="E1038" i="2"/>
  <c r="F1068" i="2"/>
  <c r="D1068" i="2"/>
  <c r="D1100" i="2"/>
  <c r="D1124" i="2"/>
  <c r="C931" i="2"/>
  <c r="C938" i="2" s="1"/>
  <c r="G991" i="2"/>
  <c r="G1004" i="2"/>
  <c r="D1045" i="2"/>
  <c r="F1038" i="2"/>
  <c r="F1045" i="2"/>
  <c r="G883" i="2"/>
  <c r="F883" i="2"/>
  <c r="F938" i="2"/>
  <c r="D991" i="2"/>
  <c r="D1004" i="2"/>
  <c r="D938" i="2"/>
  <c r="D883" i="2"/>
  <c r="G773" i="2"/>
  <c r="G613" i="2"/>
  <c r="E605" i="2"/>
  <c r="E660" i="2"/>
  <c r="E666" i="2"/>
  <c r="G718" i="2"/>
  <c r="C681" i="2"/>
  <c r="G681" i="2"/>
  <c r="D733" i="2"/>
  <c r="G733" i="2"/>
  <c r="C733" i="2"/>
  <c r="F613" i="2"/>
  <c r="F773" i="2"/>
  <c r="D773" i="2"/>
  <c r="G398" i="2"/>
  <c r="G504" i="2"/>
  <c r="G557" i="2"/>
  <c r="E557" i="2"/>
  <c r="G368" i="2"/>
  <c r="C519" i="2"/>
  <c r="D519" i="2"/>
  <c r="G519" i="2"/>
  <c r="C572" i="2"/>
  <c r="E572" i="2"/>
  <c r="D572" i="2"/>
  <c r="G572" i="2"/>
  <c r="E340" i="2"/>
  <c r="G348" i="2"/>
  <c r="F368" i="2"/>
  <c r="G451" i="2"/>
  <c r="E451" i="2"/>
  <c r="D666" i="2"/>
  <c r="D718" i="2"/>
  <c r="G294" i="2"/>
  <c r="F348" i="2"/>
  <c r="D398" i="2"/>
  <c r="D451" i="2"/>
  <c r="D504" i="2"/>
  <c r="D557" i="2"/>
  <c r="D348" i="2"/>
  <c r="G241" i="2"/>
  <c r="E234" i="2"/>
  <c r="E241" i="2" s="1"/>
  <c r="F241" i="2"/>
  <c r="F294" i="2"/>
  <c r="D241" i="2"/>
  <c r="D294" i="2"/>
  <c r="F84" i="2"/>
  <c r="F186" i="2"/>
  <c r="F831" i="2"/>
  <c r="C1100" i="2"/>
  <c r="F788" i="2" l="1"/>
  <c r="F795" i="2" s="1"/>
  <c r="D795" i="2"/>
  <c r="D906" i="2"/>
  <c r="F903" i="2"/>
  <c r="F906" i="2" s="1"/>
  <c r="E42" i="2"/>
  <c r="C134" i="2"/>
  <c r="C135" i="2" s="1"/>
  <c r="C240" i="2"/>
  <c r="C241" i="2" s="1"/>
  <c r="C293" i="2"/>
  <c r="C294" i="2" s="1"/>
  <c r="E346" i="2"/>
  <c r="E348" i="2" s="1"/>
  <c r="E148" i="2"/>
  <c r="C195" i="2"/>
  <c r="C201" i="2" s="1"/>
  <c r="C407" i="2"/>
  <c r="C413" i="2" s="1"/>
  <c r="C460" i="2"/>
  <c r="C466" i="2" s="1"/>
  <c r="C365" i="2"/>
  <c r="C368" i="2" s="1"/>
  <c r="E515" i="2"/>
  <c r="C551" i="2"/>
  <c r="C557" i="2" s="1"/>
  <c r="E287" i="2"/>
  <c r="E294" i="2" s="1"/>
  <c r="E766" i="2"/>
  <c r="C93" i="2"/>
  <c r="C104" i="2" s="1"/>
  <c r="C786" i="2"/>
  <c r="C788" i="2" s="1"/>
  <c r="C795" i="2" s="1"/>
  <c r="C823" i="2"/>
  <c r="C831" i="2" s="1"/>
  <c r="G829" i="2"/>
  <c r="G831" i="2" s="1"/>
  <c r="C844" i="2"/>
  <c r="E844" i="2" s="1"/>
  <c r="C876" i="2"/>
  <c r="C883" i="2" s="1"/>
  <c r="E97" i="2"/>
  <c r="E254" i="2"/>
  <c r="E365" i="2"/>
  <c r="F733" i="2"/>
  <c r="E786" i="2"/>
  <c r="E845" i="2"/>
  <c r="E896" i="2"/>
  <c r="G931" i="2"/>
  <c r="G938" i="2" s="1"/>
  <c r="E1001" i="2"/>
  <c r="E1004" i="2" s="1"/>
  <c r="C1004" i="2"/>
  <c r="F1155" i="2"/>
  <c r="G1038" i="2"/>
  <c r="G1045" i="2" s="1"/>
  <c r="C1054" i="2"/>
  <c r="C1060" i="2" s="1"/>
  <c r="C1068" i="2" s="1"/>
  <c r="G1054" i="2"/>
  <c r="G1060" i="2" s="1"/>
  <c r="E1058" i="2"/>
  <c r="G1063" i="2"/>
  <c r="G1093" i="2"/>
  <c r="G1100" i="2" s="1"/>
  <c r="C1113" i="2"/>
  <c r="C1115" i="2" s="1"/>
  <c r="C1124" i="2" s="1"/>
  <c r="C1153" i="2"/>
  <c r="C1155" i="2" s="1"/>
  <c r="G1207" i="2"/>
  <c r="G1209" i="2" s="1"/>
  <c r="C1222" i="2"/>
  <c r="C1224" i="2" s="1"/>
  <c r="C1228" i="2"/>
  <c r="G1218" i="2"/>
  <c r="G1224" i="2" s="1"/>
  <c r="G1228" i="2"/>
  <c r="D1218" i="2"/>
  <c r="D1224" i="2" s="1"/>
  <c r="F1224" i="2" s="1"/>
  <c r="E1273" i="2"/>
  <c r="C1324" i="2"/>
  <c r="C1330" i="2" s="1"/>
  <c r="E1326" i="2"/>
  <c r="E1330" i="2" s="1"/>
  <c r="E1383" i="2"/>
  <c r="G1421" i="2"/>
  <c r="G1423" i="2" s="1"/>
  <c r="G1522" i="2"/>
  <c r="G1528" i="2" s="1"/>
  <c r="E1115" i="2"/>
  <c r="E1124" i="2" s="1"/>
  <c r="E1228" i="2"/>
  <c r="E1522" i="2"/>
  <c r="E1528" i="2" s="1"/>
  <c r="F519" i="2"/>
  <c r="F681" i="2"/>
  <c r="F1004" i="2"/>
  <c r="G28" i="2"/>
  <c r="G22" i="2"/>
  <c r="G76" i="2"/>
  <c r="G84" i="2" s="1"/>
  <c r="D29" i="2"/>
  <c r="D1554" i="2" s="1"/>
  <c r="F22" i="2"/>
  <c r="C29" i="2"/>
  <c r="C76" i="2"/>
  <c r="C84" i="2" s="1"/>
  <c r="G953" i="2"/>
  <c r="D953" i="2"/>
  <c r="F953" i="2" s="1"/>
  <c r="C52" i="2"/>
  <c r="C157" i="2"/>
  <c r="G157" i="2"/>
  <c r="C264" i="2"/>
  <c r="G264" i="2"/>
  <c r="C316" i="2"/>
  <c r="C638" i="2"/>
  <c r="C963" i="2"/>
  <c r="C1234" i="2"/>
  <c r="G1234" i="2"/>
  <c r="D1234" i="2"/>
  <c r="E49" i="2"/>
  <c r="E50" i="2" s="1"/>
  <c r="F52" i="2"/>
  <c r="E155" i="2"/>
  <c r="E156" i="2" s="1"/>
  <c r="D157" i="2"/>
  <c r="E261" i="2"/>
  <c r="E262" i="2" s="1"/>
  <c r="D264" i="2"/>
  <c r="E314" i="2"/>
  <c r="E315" i="2" s="1"/>
  <c r="G315" i="2"/>
  <c r="G316" i="2" s="1"/>
  <c r="D316" i="2"/>
  <c r="G638" i="2"/>
  <c r="D638" i="2"/>
  <c r="G851" i="2"/>
  <c r="D851" i="2"/>
  <c r="G963" i="2"/>
  <c r="D963" i="2"/>
  <c r="F1232" i="2"/>
  <c r="F1234" i="2" s="1"/>
  <c r="F961" i="2"/>
  <c r="F963" i="2" s="1"/>
  <c r="F849" i="2"/>
  <c r="F851" i="2" s="1"/>
  <c r="F636" i="2"/>
  <c r="F638" i="2" s="1"/>
  <c r="F315" i="2"/>
  <c r="F316" i="2" s="1"/>
  <c r="F262" i="2"/>
  <c r="F264" i="2" s="1"/>
  <c r="F156" i="2"/>
  <c r="F157" i="2" s="1"/>
  <c r="D52" i="2"/>
  <c r="G42" i="2"/>
  <c r="G46" i="2"/>
  <c r="G52" i="2" s="1"/>
  <c r="G29" i="2"/>
  <c r="F29" i="2"/>
  <c r="F1554" i="2" s="1"/>
  <c r="E26" i="2"/>
  <c r="E28" i="2" s="1"/>
  <c r="E80" i="2"/>
  <c r="E82" i="2" s="1"/>
  <c r="E84" i="2" s="1"/>
  <c r="E99" i="2"/>
  <c r="E101" i="2" s="1"/>
  <c r="E44" i="2"/>
  <c r="E46" i="2" s="1"/>
  <c r="E150" i="2"/>
  <c r="E152" i="2" s="1"/>
  <c r="E256" i="2"/>
  <c r="E258" i="2" s="1"/>
  <c r="E309" i="2"/>
  <c r="E311" i="2" s="1"/>
  <c r="E409" i="2"/>
  <c r="E19" i="2"/>
  <c r="E22" i="2" s="1"/>
  <c r="E630" i="2"/>
  <c r="E632" i="2" s="1"/>
  <c r="E624" i="2"/>
  <c r="E626" i="2" s="1"/>
  <c r="E628" i="2" s="1"/>
  <c r="E677" i="2"/>
  <c r="E681" i="2" s="1"/>
  <c r="E729" i="2"/>
  <c r="E790" i="2"/>
  <c r="E792" i="2" s="1"/>
  <c r="E892" i="2"/>
  <c r="E898" i="2" s="1"/>
  <c r="E906" i="2" s="1"/>
  <c r="E947" i="2"/>
  <c r="E951" i="2"/>
  <c r="E957" i="2"/>
  <c r="E1054" i="2"/>
  <c r="E1060" i="2" s="1"/>
  <c r="E1218" i="2"/>
  <c r="E1224" i="2" s="1"/>
  <c r="E1234" i="2" s="1"/>
  <c r="E1438" i="2"/>
  <c r="E1443" i="2"/>
  <c r="E1486" i="2"/>
  <c r="E1492" i="2" s="1"/>
  <c r="E1537" i="2"/>
  <c r="E1543" i="2" s="1"/>
  <c r="E128" i="2"/>
  <c r="E135" i="2" s="1"/>
  <c r="E303" i="2"/>
  <c r="E357" i="2"/>
  <c r="E368" i="2" s="1"/>
  <c r="E392" i="2"/>
  <c r="E398" i="2" s="1"/>
  <c r="E498" i="2"/>
  <c r="E504" i="2" s="1"/>
  <c r="E611" i="2"/>
  <c r="E613" i="2" s="1"/>
  <c r="E712" i="2"/>
  <c r="E718" i="2" s="1"/>
  <c r="E772" i="2"/>
  <c r="E773" i="2" s="1"/>
  <c r="E782" i="2"/>
  <c r="E788" i="2" s="1"/>
  <c r="E829" i="2"/>
  <c r="E831" i="2" s="1"/>
  <c r="E840" i="2"/>
  <c r="E851" i="2" s="1"/>
  <c r="E882" i="2"/>
  <c r="E883" i="2" s="1"/>
  <c r="E937" i="2"/>
  <c r="E938" i="2" s="1"/>
  <c r="E985" i="2"/>
  <c r="E991" i="2" s="1"/>
  <c r="E1044" i="2"/>
  <c r="E1045" i="2" s="1"/>
  <c r="E1099" i="2"/>
  <c r="E1100" i="2" s="1"/>
  <c r="E1147" i="2"/>
  <c r="E1153" i="2"/>
  <c r="E1207" i="2"/>
  <c r="E1209" i="2" s="1"/>
  <c r="E1256" i="2"/>
  <c r="E1262" i="2" s="1"/>
  <c r="E1308" i="2"/>
  <c r="E1314" i="2" s="1"/>
  <c r="E1361" i="2"/>
  <c r="E1367" i="2" s="1"/>
  <c r="E1421" i="2"/>
  <c r="E1423" i="2" s="1"/>
  <c r="E1470" i="2"/>
  <c r="E1476" i="2" s="1"/>
  <c r="E104" i="2"/>
  <c r="E201" i="2"/>
  <c r="E733" i="2"/>
  <c r="E407" i="2"/>
  <c r="E413" i="2" s="1"/>
  <c r="E460" i="2"/>
  <c r="E466" i="2" s="1"/>
  <c r="E513" i="2"/>
  <c r="E519" i="2" s="1"/>
  <c r="E1271" i="2"/>
  <c r="E1277" i="2" s="1"/>
  <c r="E1155" i="2" l="1"/>
  <c r="E1447" i="2"/>
  <c r="E953" i="2"/>
  <c r="E963" i="2" s="1"/>
  <c r="E1063" i="2"/>
  <c r="E1064" i="2" s="1"/>
  <c r="G1064" i="2"/>
  <c r="G1068" i="2" s="1"/>
  <c r="C845" i="2"/>
  <c r="C851" i="2" s="1"/>
  <c r="E638" i="2"/>
  <c r="E316" i="2"/>
  <c r="E264" i="2"/>
  <c r="E157" i="2"/>
  <c r="E52" i="2"/>
  <c r="E29" i="2"/>
  <c r="E1554" i="2" s="1"/>
  <c r="F1555" i="2" s="1"/>
  <c r="E1068" i="2"/>
  <c r="E795" i="2"/>
</calcChain>
</file>

<file path=xl/sharedStrings.xml><?xml version="1.0" encoding="utf-8"?>
<sst xmlns="http://schemas.openxmlformats.org/spreadsheetml/2006/main" count="1716" uniqueCount="131">
  <si>
    <t>п/п</t>
  </si>
  <si>
    <t>Наименование услуг</t>
  </si>
  <si>
    <t>Начислено</t>
  </si>
  <si>
    <t>ХАРАКТЕРИСТИКА МНОГОКВАРТИРНОГО ДОМА (МКД)</t>
  </si>
  <si>
    <t>Год постройки</t>
  </si>
  <si>
    <t>Электроэнергия на ОДН</t>
  </si>
  <si>
    <t>О  Т  Ч  Е  Т</t>
  </si>
  <si>
    <t xml:space="preserve"> - по жилым помещениям</t>
  </si>
  <si>
    <t xml:space="preserve"> - по нежилым помещениям</t>
  </si>
  <si>
    <t xml:space="preserve">Общая площадь нежилых помещений МКД  (кв.м)  </t>
  </si>
  <si>
    <t>Площадь общего имущества многоквартирного дома  (МКД),   (кв.м)</t>
  </si>
  <si>
    <t xml:space="preserve">Общая площадь жилых помещений  МКД   (кв.м)  </t>
  </si>
  <si>
    <t xml:space="preserve">Количество этажей      </t>
  </si>
  <si>
    <t xml:space="preserve">Количество квартир     </t>
  </si>
  <si>
    <t xml:space="preserve">Количество подъездов </t>
  </si>
  <si>
    <t xml:space="preserve">№ </t>
  </si>
  <si>
    <t>Оплачено</t>
  </si>
  <si>
    <t xml:space="preserve"> - использование общего имущества </t>
  </si>
  <si>
    <t>ИНФОРМАЦИЯ ПО ПРЕДОСТАВЛЕНИЮ КОММУНАЛЬНЫХ УСЛУГ</t>
  </si>
  <si>
    <t>Задолженность</t>
  </si>
  <si>
    <t>1.</t>
  </si>
  <si>
    <t>Теплоэнергия:</t>
  </si>
  <si>
    <t>3.</t>
  </si>
  <si>
    <t>итого:</t>
  </si>
  <si>
    <t>на 01.01.2014г.</t>
  </si>
  <si>
    <t>проспект  Парковый  13</t>
  </si>
  <si>
    <t>2.</t>
  </si>
  <si>
    <t>Расходы</t>
  </si>
  <si>
    <t>населения</t>
  </si>
  <si>
    <t>Холодная вода:</t>
  </si>
  <si>
    <t>на 01.01.2015г.</t>
  </si>
  <si>
    <t>водоснабжение и водоотвед. по жилым помещениям</t>
  </si>
  <si>
    <t>водоснабжение и водоотвед.  по нежилым помещениям</t>
  </si>
  <si>
    <t>Содержание общего имущества:</t>
  </si>
  <si>
    <t>Услуги управления</t>
  </si>
  <si>
    <t xml:space="preserve"> ООО "Речник-Плюс" перед собственниками МКД по услугам управления, содержанию и текущему ремонту </t>
  </si>
  <si>
    <t xml:space="preserve"> общего имущества дома и по предоставлению коммунальных услуг  за период с 01.01.2014г. по 31.12.2014г.</t>
  </si>
  <si>
    <t xml:space="preserve">       нежилых помещений</t>
  </si>
  <si>
    <t>проспект  Парковый  1</t>
  </si>
  <si>
    <t>проспект  Парковый  15а</t>
  </si>
  <si>
    <t>проспект  Парковый  15в</t>
  </si>
  <si>
    <t>проспект  Парковый  3</t>
  </si>
  <si>
    <t>проспект  Парковый  3/1</t>
  </si>
  <si>
    <t>проспект  Парковый  5</t>
  </si>
  <si>
    <t>проспект  Парковый  5/1</t>
  </si>
  <si>
    <t xml:space="preserve">ул. Строителей 24 а </t>
  </si>
  <si>
    <t xml:space="preserve">ул. Строителей 24 б </t>
  </si>
  <si>
    <t xml:space="preserve">ул. Строителей 24 в </t>
  </si>
  <si>
    <t>ИНФОРМАЦИЯ  ПО  ПРЕДОСТАВЛЕНИЮ  КОММУНАЛЬНЫХ УСЛУГ</t>
  </si>
  <si>
    <t xml:space="preserve">Текущий ремонт                            </t>
  </si>
  <si>
    <t>Текущий ремонт</t>
  </si>
  <si>
    <t>ул. Колхозная 1  дом 2</t>
  </si>
  <si>
    <t>ул. Маяковского 33/1</t>
  </si>
  <si>
    <t>ул. Маяковского 33/2</t>
  </si>
  <si>
    <t>ул. Маяковского 33/3</t>
  </si>
  <si>
    <t>ул. Маяковского 37</t>
  </si>
  <si>
    <t>ул. Маяковского 37/2</t>
  </si>
  <si>
    <t>ул. Маяковского 37/3</t>
  </si>
  <si>
    <t>ул. Маяковского 39</t>
  </si>
  <si>
    <t>ул. Маяковского 41</t>
  </si>
  <si>
    <t>ул. Маяковского 43</t>
  </si>
  <si>
    <t>ул. Маяковского 48</t>
  </si>
  <si>
    <t>ул. Новоколхозная 2</t>
  </si>
  <si>
    <t>ул. С.Есенина 11</t>
  </si>
  <si>
    <t>ул. С.Есенина 13</t>
  </si>
  <si>
    <t>ул. С.Есенина  3/4</t>
  </si>
  <si>
    <t>ул. С.Есенина  5/2</t>
  </si>
  <si>
    <t>ул. С.Есенина  7</t>
  </si>
  <si>
    <t>ул. С.Есенина  9</t>
  </si>
  <si>
    <t>Электроэнергия общий учет</t>
  </si>
  <si>
    <t xml:space="preserve">Отопление:                                </t>
  </si>
  <si>
    <t xml:space="preserve">ГВС:                                                                 </t>
  </si>
  <si>
    <t xml:space="preserve">Отопление:                                 </t>
  </si>
  <si>
    <t>Энергопотребление - общий учет</t>
  </si>
  <si>
    <t>Всего:</t>
  </si>
  <si>
    <t xml:space="preserve">Отопление                                </t>
  </si>
  <si>
    <t xml:space="preserve">ГВС                                       </t>
  </si>
  <si>
    <t xml:space="preserve">Отопление                        </t>
  </si>
  <si>
    <t xml:space="preserve">ГВС                                                          </t>
  </si>
  <si>
    <t>Итого по теплоэнергии:</t>
  </si>
  <si>
    <t>Всего</t>
  </si>
  <si>
    <t>итого по теплоэнергии:</t>
  </si>
  <si>
    <t xml:space="preserve">Отопление:                                       </t>
  </si>
  <si>
    <t xml:space="preserve">ГВС:                                                              </t>
  </si>
  <si>
    <t xml:space="preserve">Отопление                                 </t>
  </si>
  <si>
    <t>Отопление</t>
  </si>
  <si>
    <t>ГВС</t>
  </si>
  <si>
    <t>Холодная вода</t>
  </si>
  <si>
    <t xml:space="preserve">ГВС:                                                            </t>
  </si>
  <si>
    <t xml:space="preserve">Отопление                              </t>
  </si>
  <si>
    <t xml:space="preserve">ГВС                                                           </t>
  </si>
  <si>
    <t xml:space="preserve">Отопление                      </t>
  </si>
  <si>
    <t xml:space="preserve">ГВС                                                         </t>
  </si>
  <si>
    <r>
      <t xml:space="preserve"> общего имущества дома и по предоставлению коммунальных услуг  за период с 01.01.2014г. </t>
    </r>
    <r>
      <rPr>
        <b/>
        <sz val="10"/>
        <color indexed="10"/>
        <rFont val="Times New Roman"/>
        <family val="1"/>
        <charset val="204"/>
      </rPr>
      <t>по 31.07.2014г</t>
    </r>
    <r>
      <rPr>
        <b/>
        <sz val="10"/>
        <color indexed="8"/>
        <rFont val="Times New Roman"/>
        <family val="1"/>
        <charset val="204"/>
      </rPr>
      <t>.</t>
    </r>
  </si>
  <si>
    <t xml:space="preserve">Количество жилых квартир     </t>
  </si>
  <si>
    <t>Общая площадь нежилых помещений МКД  (кв.м)  (в т.ч. подвал -272,0 м2)</t>
  </si>
  <si>
    <t>Общая площадь нежилых помещений МКД  (кв.м)  (в т.ч. 409,5 кв.м. пристрой)</t>
  </si>
  <si>
    <t>Общая площадь нежилых помещений МКД  (кв.м)  (в т.ч. 230,8 кв.м. пристой)</t>
  </si>
  <si>
    <t xml:space="preserve">  </t>
  </si>
  <si>
    <t>СОДЕРЖАНИЕ И ТЕКУЩИЙ РЕМОНТ</t>
  </si>
  <si>
    <r>
      <t xml:space="preserve">Текущий ремонт                                          </t>
    </r>
    <r>
      <rPr>
        <sz val="10"/>
        <rFont val="Times New Roman"/>
        <family val="1"/>
        <charset val="204"/>
      </rPr>
      <t>жилых помещений</t>
    </r>
  </si>
  <si>
    <t>Отопление                                                по жилым помещениям</t>
  </si>
  <si>
    <t xml:space="preserve">ГВС:                                                       по жилым помещениям </t>
  </si>
  <si>
    <r>
      <t xml:space="preserve">Текущий ремонт:                                          </t>
    </r>
    <r>
      <rPr>
        <sz val="10"/>
        <rFont val="Times New Roman"/>
        <family val="1"/>
        <charset val="204"/>
      </rPr>
      <t>жилых помещений</t>
    </r>
  </si>
  <si>
    <t>Отопление:                                              по жилым помещениям</t>
  </si>
  <si>
    <t>ГВС:                                                       по жилым  помещениям</t>
  </si>
  <si>
    <r>
      <t xml:space="preserve">Текущий ремонт:                                         </t>
    </r>
    <r>
      <rPr>
        <sz val="10"/>
        <rFont val="Times New Roman"/>
        <family val="1"/>
        <charset val="204"/>
      </rPr>
      <t>жилых помещений</t>
    </r>
  </si>
  <si>
    <t>ГВС:                                                        по жилым помещениям</t>
  </si>
  <si>
    <r>
      <t xml:space="preserve">Текущий ремонт:                                        </t>
    </r>
    <r>
      <rPr>
        <sz val="10"/>
        <rFont val="Times New Roman"/>
        <family val="1"/>
        <charset val="204"/>
      </rPr>
      <t>жилых помещений</t>
    </r>
  </si>
  <si>
    <t>Отопление:                                               по жилым помещениям</t>
  </si>
  <si>
    <t xml:space="preserve">ГВС:                                                        по жилым помещениям </t>
  </si>
  <si>
    <t>ГВС:                                                       по жилым помещениям</t>
  </si>
  <si>
    <t xml:space="preserve">Отопление:                                               по жилым помещениям             </t>
  </si>
  <si>
    <r>
      <t xml:space="preserve">ГВС: </t>
    </r>
    <r>
      <rPr>
        <sz val="10"/>
        <rFont val="Times New Roman"/>
        <family val="1"/>
        <charset val="204"/>
      </rPr>
      <t xml:space="preserve">                                                      по жилым помещениям</t>
    </r>
  </si>
  <si>
    <t xml:space="preserve">Отопление:                                            </t>
  </si>
  <si>
    <t xml:space="preserve">ГВС:                                                                </t>
  </si>
  <si>
    <t>по  нежилым помещениям</t>
  </si>
  <si>
    <t>по нежилым помещениям</t>
  </si>
  <si>
    <t xml:space="preserve"> по нежилым помещениям</t>
  </si>
  <si>
    <t xml:space="preserve"> </t>
  </si>
  <si>
    <r>
      <t xml:space="preserve">Электроэнергия на ОДН:                   </t>
    </r>
    <r>
      <rPr>
        <sz val="10"/>
        <rFont val="Times New Roman"/>
        <family val="1"/>
        <charset val="204"/>
      </rPr>
      <t xml:space="preserve"> по жилым помещениям</t>
    </r>
  </si>
  <si>
    <r>
      <t xml:space="preserve">Электроэнергия на ОДН:                      </t>
    </r>
    <r>
      <rPr>
        <sz val="10"/>
        <rFont val="Times New Roman"/>
        <family val="1"/>
        <charset val="204"/>
      </rPr>
      <t>по жилым помещениям</t>
    </r>
  </si>
  <si>
    <r>
      <t xml:space="preserve">Электроэнергия на ОДН:                   </t>
    </r>
    <r>
      <rPr>
        <sz val="10"/>
        <rFont val="Times New Roman"/>
        <family val="1"/>
        <charset val="204"/>
      </rPr>
      <t xml:space="preserve"> по жилым  помещениям</t>
    </r>
  </si>
  <si>
    <r>
      <t xml:space="preserve">Электроэнергия на ОДН:                    </t>
    </r>
    <r>
      <rPr>
        <sz val="10"/>
        <rFont val="Times New Roman"/>
        <family val="1"/>
        <charset val="204"/>
      </rPr>
      <t>по жилым помещениям</t>
    </r>
  </si>
  <si>
    <r>
      <t xml:space="preserve">Электроэнергия на ОДН:                     </t>
    </r>
    <r>
      <rPr>
        <sz val="10"/>
        <rFont val="Times New Roman"/>
        <family val="1"/>
        <charset val="204"/>
      </rPr>
      <t>по жилым помещениям</t>
    </r>
  </si>
  <si>
    <r>
      <t xml:space="preserve">Электроэнергия на ОДН:                  </t>
    </r>
    <r>
      <rPr>
        <sz val="10"/>
        <rFont val="Times New Roman"/>
        <family val="1"/>
        <charset val="204"/>
      </rPr>
      <t xml:space="preserve">  по жилым помещениям</t>
    </r>
  </si>
  <si>
    <r>
      <t xml:space="preserve">Электроэнергия на ОДН:                   </t>
    </r>
    <r>
      <rPr>
        <sz val="10"/>
        <rFont val="Times New Roman"/>
        <family val="1"/>
        <charset val="204"/>
      </rPr>
      <t>по жилым помещениям</t>
    </r>
  </si>
  <si>
    <r>
      <t xml:space="preserve">Электроэнергия на ОДН: </t>
    </r>
    <r>
      <rPr>
        <sz val="10"/>
        <rFont val="Times New Roman"/>
        <family val="1"/>
        <charset val="204"/>
      </rPr>
      <t xml:space="preserve">                    по жилым помещениям</t>
    </r>
  </si>
  <si>
    <t>Площадь общего имущества многоквартирного дома  (МКД) (кв.м)</t>
  </si>
  <si>
    <t xml:space="preserve">Общая площадь жилых помещений  МКД (кв.м)  </t>
  </si>
  <si>
    <t xml:space="preserve">Общая площадь нежилых помещений МКД (кв.м)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</si>
</sst>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6" fillId="0" borderId="5" xfId="0" applyFont="1" applyBorder="1" applyAlignment="1"/>
    <xf numFmtId="4" fontId="6" fillId="0" borderId="6" xfId="0" applyNumberFormat="1" applyFont="1" applyBorder="1" applyAlignment="1">
      <alignment horizontal="center"/>
    </xf>
    <xf numFmtId="0" fontId="6" fillId="0" borderId="1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 applyAlignment="1"/>
    <xf numFmtId="0" fontId="4" fillId="0" borderId="5" xfId="0" applyFont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0" fontId="6" fillId="0" borderId="6" xfId="0" applyFont="1" applyBorder="1" applyAlignment="1"/>
    <xf numFmtId="4" fontId="1" fillId="0" borderId="6" xfId="0" applyNumberFormat="1" applyFont="1" applyBorder="1" applyAlignment="1">
      <alignment horizontal="center"/>
    </xf>
    <xf numFmtId="4" fontId="6" fillId="0" borderId="17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6" fillId="0" borderId="5" xfId="0" applyFont="1" applyFill="1" applyBorder="1" applyAlignment="1"/>
    <xf numFmtId="4" fontId="2" fillId="0" borderId="5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1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/>
    <xf numFmtId="4" fontId="4" fillId="0" borderId="6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4" fontId="4" fillId="0" borderId="8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1" fillId="0" borderId="9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/>
    </xf>
    <xf numFmtId="4" fontId="4" fillId="2" borderId="12" xfId="0" applyNumberFormat="1" applyFont="1" applyFill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0" fontId="6" fillId="2" borderId="12" xfId="0" applyFont="1" applyFill="1" applyBorder="1" applyAlignment="1"/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4" fontId="1" fillId="3" borderId="12" xfId="0" applyNumberFormat="1" applyFont="1" applyFill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0" fontId="2" fillId="3" borderId="12" xfId="0" applyFont="1" applyFill="1" applyBorder="1" applyAlignment="1"/>
    <xf numFmtId="2" fontId="2" fillId="0" borderId="6" xfId="0" applyNumberFormat="1" applyFont="1" applyBorder="1" applyAlignment="1"/>
    <xf numFmtId="2" fontId="2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2" fillId="0" borderId="9" xfId="0" applyFont="1" applyBorder="1" applyAlignment="1"/>
    <xf numFmtId="4" fontId="1" fillId="2" borderId="21" xfId="0" applyNumberFormat="1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2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6" xfId="0" applyFont="1" applyFill="1" applyBorder="1" applyAlignment="1">
      <alignment horizontal="left"/>
    </xf>
    <xf numFmtId="0" fontId="1" fillId="0" borderId="6" xfId="0" applyFont="1" applyBorder="1" applyAlignment="1"/>
    <xf numFmtId="0" fontId="2" fillId="0" borderId="6" xfId="0" applyFont="1" applyBorder="1" applyAlignment="1">
      <alignment horizontal="right"/>
    </xf>
    <xf numFmtId="4" fontId="6" fillId="0" borderId="6" xfId="0" applyNumberFormat="1" applyFont="1" applyBorder="1" applyAlignment="1"/>
    <xf numFmtId="0" fontId="1" fillId="0" borderId="4" xfId="0" applyFont="1" applyBorder="1" applyAlignment="1">
      <alignment horizontal="right"/>
    </xf>
    <xf numFmtId="4" fontId="1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4" fillId="0" borderId="5" xfId="0" applyFont="1" applyBorder="1" applyAlignment="1"/>
    <xf numFmtId="0" fontId="10" fillId="0" borderId="0" xfId="0" applyFont="1"/>
    <xf numFmtId="0" fontId="1" fillId="0" borderId="9" xfId="0" applyFont="1" applyBorder="1" applyAlignment="1"/>
    <xf numFmtId="0" fontId="2" fillId="0" borderId="11" xfId="0" applyFont="1" applyBorder="1" applyAlignment="1">
      <alignment horizontal="left"/>
    </xf>
    <xf numFmtId="0" fontId="6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4" fontId="6" fillId="0" borderId="5" xfId="0" applyNumberFormat="1" applyFont="1" applyFill="1" applyBorder="1" applyAlignment="1"/>
    <xf numFmtId="0" fontId="1" fillId="0" borderId="6" xfId="0" applyFont="1" applyBorder="1" applyAlignment="1">
      <alignment horizontal="left"/>
    </xf>
    <xf numFmtId="4" fontId="2" fillId="0" borderId="6" xfId="0" applyNumberFormat="1" applyFont="1" applyFill="1" applyBorder="1" applyAlignment="1"/>
    <xf numFmtId="4" fontId="6" fillId="0" borderId="6" xfId="0" applyNumberFormat="1" applyFont="1" applyFill="1" applyBorder="1" applyAlignment="1">
      <alignment horizontal="center"/>
    </xf>
    <xf numFmtId="4" fontId="6" fillId="0" borderId="6" xfId="0" applyNumberFormat="1" applyFont="1" applyFill="1" applyBorder="1" applyAlignment="1"/>
    <xf numFmtId="0" fontId="1" fillId="0" borderId="8" xfId="0" applyFont="1" applyFill="1" applyBorder="1" applyAlignment="1">
      <alignment horizontal="right"/>
    </xf>
    <xf numFmtId="4" fontId="1" fillId="0" borderId="11" xfId="0" applyNumberFormat="1" applyFont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1" fillId="0" borderId="8" xfId="0" applyFont="1" applyBorder="1" applyAlignment="1">
      <alignment horizontal="right"/>
    </xf>
    <xf numFmtId="0" fontId="4" fillId="0" borderId="5" xfId="0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4" fontId="1" fillId="0" borderId="1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1" fillId="0" borderId="13" xfId="0" applyFont="1" applyBorder="1"/>
    <xf numFmtId="0" fontId="1" fillId="0" borderId="9" xfId="0" applyFont="1" applyBorder="1" applyAlignment="1">
      <alignment vertical="center"/>
    </xf>
    <xf numFmtId="4" fontId="13" fillId="0" borderId="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8" xfId="0" applyFont="1" applyBorder="1" applyAlignment="1"/>
    <xf numFmtId="4" fontId="4" fillId="0" borderId="0" xfId="0" applyNumberFormat="1" applyFont="1" applyAlignment="1">
      <alignment horizontal="center"/>
    </xf>
    <xf numFmtId="4" fontId="6" fillId="0" borderId="0" xfId="0" applyNumberFormat="1" applyFont="1" applyFill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0" fontId="11" fillId="2" borderId="12" xfId="0" applyFont="1" applyFill="1" applyBorder="1"/>
    <xf numFmtId="4" fontId="11" fillId="0" borderId="0" xfId="0" applyNumberFormat="1" applyFont="1"/>
    <xf numFmtId="0" fontId="1" fillId="0" borderId="4" xfId="0" applyFont="1" applyBorder="1" applyAlignment="1"/>
    <xf numFmtId="0" fontId="1" fillId="0" borderId="20" xfId="0" applyFont="1" applyBorder="1" applyAlignment="1"/>
    <xf numFmtId="4" fontId="6" fillId="0" borderId="5" xfId="0" applyNumberFormat="1" applyFont="1" applyBorder="1" applyAlignment="1"/>
    <xf numFmtId="3" fontId="1" fillId="0" borderId="4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4" fillId="0" borderId="0" xfId="0" applyFont="1"/>
    <xf numFmtId="4" fontId="13" fillId="0" borderId="6" xfId="0" applyNumberFormat="1" applyFont="1" applyBorder="1" applyAlignment="1">
      <alignment vertical="center"/>
    </xf>
    <xf numFmtId="0" fontId="1" fillId="0" borderId="20" xfId="0" applyFont="1" applyBorder="1" applyAlignment="1">
      <alignment horizontal="right"/>
    </xf>
    <xf numFmtId="4" fontId="1" fillId="0" borderId="2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1" xfId="0" applyFont="1" applyBorder="1" applyAlignment="1"/>
    <xf numFmtId="0" fontId="6" fillId="0" borderId="0" xfId="0" applyFont="1" applyBorder="1"/>
    <xf numFmtId="0" fontId="2" fillId="0" borderId="20" xfId="0" applyFont="1" applyBorder="1" applyAlignment="1">
      <alignment horizontal="right"/>
    </xf>
    <xf numFmtId="4" fontId="1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3" fontId="1" fillId="0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3" xfId="0" applyFont="1" applyBorder="1" applyAlignment="1"/>
    <xf numFmtId="0" fontId="1" fillId="0" borderId="1" xfId="0" applyFont="1" applyBorder="1" applyAlignment="1"/>
    <xf numFmtId="0" fontId="11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4" fontId="4" fillId="3" borderId="12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2" fontId="1" fillId="0" borderId="8" xfId="0" applyNumberFormat="1" applyFont="1" applyFill="1" applyBorder="1" applyAlignment="1"/>
    <xf numFmtId="0" fontId="1" fillId="0" borderId="6" xfId="0" applyFont="1" applyFill="1" applyBorder="1" applyAlignment="1"/>
    <xf numFmtId="0" fontId="1" fillId="0" borderId="8" xfId="0" applyFont="1" applyFill="1" applyBorder="1" applyAlignment="1"/>
    <xf numFmtId="0" fontId="1" fillId="0" borderId="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18" xfId="0" applyFont="1" applyBorder="1" applyAlignme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0" xfId="0" applyFont="1" applyFill="1" applyBorder="1" applyAlignment="1"/>
    <xf numFmtId="4" fontId="1" fillId="0" borderId="20" xfId="0" applyNumberFormat="1" applyFont="1" applyFill="1" applyBorder="1" applyAlignment="1">
      <alignment horizontal="center"/>
    </xf>
    <xf numFmtId="0" fontId="14" fillId="0" borderId="5" xfId="0" applyFont="1" applyBorder="1" applyAlignment="1"/>
    <xf numFmtId="4" fontId="15" fillId="0" borderId="5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" fontId="15" fillId="0" borderId="6" xfId="0" applyNumberFormat="1" applyFont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4" fontId="15" fillId="0" borderId="6" xfId="0" applyNumberFormat="1" applyFont="1" applyFill="1" applyBorder="1" applyAlignment="1">
      <alignment horizontal="center"/>
    </xf>
    <xf numFmtId="0" fontId="15" fillId="0" borderId="6" xfId="0" applyFont="1" applyBorder="1" applyAlignment="1"/>
    <xf numFmtId="0" fontId="14" fillId="0" borderId="0" xfId="0" applyFont="1"/>
    <xf numFmtId="4" fontId="14" fillId="0" borderId="6" xfId="0" applyNumberFormat="1" applyFont="1" applyBorder="1" applyAlignment="1"/>
    <xf numFmtId="4" fontId="3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4" fontId="16" fillId="0" borderId="4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2" fillId="0" borderId="13" xfId="0" applyFont="1" applyBorder="1" applyAlignment="1"/>
    <xf numFmtId="3" fontId="1" fillId="0" borderId="6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/>
    <xf numFmtId="0" fontId="1" fillId="0" borderId="13" xfId="0" applyFont="1" applyFill="1" applyBorder="1" applyAlignment="1"/>
    <xf numFmtId="4" fontId="1" fillId="0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2" fontId="2" fillId="0" borderId="13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2" fillId="0" borderId="0" xfId="0" applyFont="1" applyBorder="1"/>
    <xf numFmtId="4" fontId="4" fillId="0" borderId="13" xfId="0" applyNumberFormat="1" applyFont="1" applyBorder="1" applyAlignment="1">
      <alignment horizontal="center"/>
    </xf>
    <xf numFmtId="0" fontId="11" fillId="0" borderId="16" xfId="0" applyFont="1" applyBorder="1"/>
    <xf numFmtId="0" fontId="12" fillId="0" borderId="0" xfId="0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right" vertical="center"/>
    </xf>
    <xf numFmtId="4" fontId="15" fillId="0" borderId="6" xfId="0" applyNumberFormat="1" applyFont="1" applyBorder="1" applyAlignment="1"/>
    <xf numFmtId="0" fontId="9" fillId="0" borderId="0" xfId="0" applyFont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11" fillId="0" borderId="0" xfId="0" applyNumberFormat="1" applyFont="1" applyAlignment="1">
      <alignment horizontal="center"/>
    </xf>
    <xf numFmtId="4" fontId="5" fillId="0" borderId="0" xfId="0" applyNumberFormat="1" applyFont="1"/>
    <xf numFmtId="4" fontId="6" fillId="0" borderId="0" xfId="0" applyNumberFormat="1" applyFont="1" applyAlignment="1">
      <alignment vertical="center"/>
    </xf>
    <xf numFmtId="0" fontId="11" fillId="0" borderId="0" xfId="0" applyFont="1" applyFill="1" applyBorder="1"/>
    <xf numFmtId="0" fontId="1" fillId="0" borderId="13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11" fillId="0" borderId="9" xfId="0" applyFont="1" applyBorder="1"/>
    <xf numFmtId="0" fontId="2" fillId="0" borderId="9" xfId="0" applyFont="1" applyBorder="1" applyAlignment="1">
      <alignment horizontal="right"/>
    </xf>
    <xf numFmtId="4" fontId="6" fillId="0" borderId="0" xfId="0" applyNumberFormat="1" applyFont="1"/>
    <xf numFmtId="4" fontId="10" fillId="0" borderId="0" xfId="0" applyNumberFormat="1" applyFont="1"/>
    <xf numFmtId="4" fontId="18" fillId="0" borderId="0" xfId="0" applyNumberFormat="1" applyFont="1"/>
    <xf numFmtId="4" fontId="18" fillId="0" borderId="0" xfId="0" applyNumberFormat="1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7"/>
  <sheetViews>
    <sheetView tabSelected="1" topLeftCell="A1589" zoomScale="106" zoomScaleNormal="106" workbookViewId="0">
      <selection activeCell="F1526" sqref="F1526"/>
    </sheetView>
  </sheetViews>
  <sheetFormatPr defaultRowHeight="14.4" x14ac:dyDescent="0.3"/>
  <cols>
    <col min="1" max="1" width="4.109375" customWidth="1"/>
    <col min="2" max="2" width="54.6640625" customWidth="1"/>
    <col min="3" max="3" width="15.44140625" customWidth="1"/>
    <col min="4" max="4" width="14.44140625" customWidth="1"/>
    <col min="5" max="5" width="15.109375" customWidth="1"/>
    <col min="6" max="6" width="12.5546875" customWidth="1"/>
    <col min="7" max="7" width="15.88671875" customWidth="1"/>
    <col min="8" max="8" width="7.109375" customWidth="1"/>
    <col min="9" max="9" width="13.6640625" customWidth="1"/>
    <col min="10" max="10" width="15.6640625" customWidth="1"/>
    <col min="11" max="11" width="3.33203125" customWidth="1"/>
    <col min="12" max="12" width="13" customWidth="1"/>
    <col min="13" max="13" width="4.33203125" customWidth="1"/>
  </cols>
  <sheetData>
    <row r="1" spans="1:7" ht="11.1" customHeight="1" x14ac:dyDescent="0.3">
      <c r="A1" s="305" t="s">
        <v>6</v>
      </c>
      <c r="B1" s="305"/>
      <c r="C1" s="305"/>
      <c r="D1" s="305"/>
      <c r="E1" s="305"/>
      <c r="F1" s="305"/>
      <c r="G1" s="305"/>
    </row>
    <row r="2" spans="1:7" ht="11.1" customHeight="1" x14ac:dyDescent="0.3">
      <c r="A2" s="305" t="s">
        <v>35</v>
      </c>
      <c r="B2" s="305"/>
      <c r="C2" s="305"/>
      <c r="D2" s="305"/>
      <c r="E2" s="305"/>
      <c r="F2" s="305"/>
      <c r="G2" s="305"/>
    </row>
    <row r="3" spans="1:7" ht="11.1" customHeight="1" x14ac:dyDescent="0.3">
      <c r="A3" s="305" t="s">
        <v>36</v>
      </c>
      <c r="B3" s="305"/>
      <c r="C3" s="305"/>
      <c r="D3" s="305"/>
      <c r="E3" s="305"/>
      <c r="F3" s="305"/>
      <c r="G3" s="305"/>
    </row>
    <row r="4" spans="1:7" ht="11.1" customHeight="1" x14ac:dyDescent="0.3">
      <c r="A4" s="339" t="s">
        <v>25</v>
      </c>
      <c r="B4" s="340"/>
      <c r="C4" s="340"/>
      <c r="D4" s="340"/>
      <c r="E4" s="340"/>
      <c r="F4" s="340"/>
      <c r="G4" s="341"/>
    </row>
    <row r="5" spans="1:7" ht="10.199999999999999" customHeight="1" x14ac:dyDescent="0.3">
      <c r="A5" s="315" t="s">
        <v>3</v>
      </c>
      <c r="B5" s="345"/>
      <c r="C5" s="345"/>
      <c r="D5" s="345"/>
      <c r="E5" s="345"/>
      <c r="F5" s="345"/>
      <c r="G5" s="346"/>
    </row>
    <row r="6" spans="1:7" ht="11.1" customHeight="1" x14ac:dyDescent="0.3">
      <c r="A6" s="26">
        <v>1</v>
      </c>
      <c r="B6" s="295" t="s">
        <v>4</v>
      </c>
      <c r="C6" s="296"/>
      <c r="D6" s="296"/>
      <c r="E6" s="297"/>
      <c r="F6" s="298">
        <v>1980</v>
      </c>
      <c r="G6" s="299"/>
    </row>
    <row r="7" spans="1:7" ht="11.1" customHeight="1" x14ac:dyDescent="0.3">
      <c r="A7" s="27">
        <v>2</v>
      </c>
      <c r="B7" s="300" t="s">
        <v>12</v>
      </c>
      <c r="C7" s="301"/>
      <c r="D7" s="301"/>
      <c r="E7" s="302"/>
      <c r="F7" s="303">
        <v>9</v>
      </c>
      <c r="G7" s="304"/>
    </row>
    <row r="8" spans="1:7" ht="11.1" customHeight="1" x14ac:dyDescent="0.3">
      <c r="A8" s="27">
        <v>3</v>
      </c>
      <c r="B8" s="300" t="s">
        <v>14</v>
      </c>
      <c r="C8" s="301"/>
      <c r="D8" s="301"/>
      <c r="E8" s="302"/>
      <c r="F8" s="303">
        <v>13</v>
      </c>
      <c r="G8" s="304"/>
    </row>
    <row r="9" spans="1:7" ht="11.1" customHeight="1" x14ac:dyDescent="0.3">
      <c r="A9" s="27">
        <v>4</v>
      </c>
      <c r="B9" s="300" t="s">
        <v>13</v>
      </c>
      <c r="C9" s="301"/>
      <c r="D9" s="301"/>
      <c r="E9" s="302"/>
      <c r="F9" s="303">
        <v>441</v>
      </c>
      <c r="G9" s="304"/>
    </row>
    <row r="10" spans="1:7" ht="11.1" customHeight="1" x14ac:dyDescent="0.3">
      <c r="A10" s="27">
        <v>5</v>
      </c>
      <c r="B10" s="300" t="s">
        <v>10</v>
      </c>
      <c r="C10" s="301"/>
      <c r="D10" s="301"/>
      <c r="E10" s="302"/>
      <c r="F10" s="303">
        <v>7008.9</v>
      </c>
      <c r="G10" s="304"/>
    </row>
    <row r="11" spans="1:7" ht="11.1" customHeight="1" x14ac:dyDescent="0.3">
      <c r="A11" s="27">
        <v>6</v>
      </c>
      <c r="B11" s="300" t="s">
        <v>11</v>
      </c>
      <c r="C11" s="301"/>
      <c r="D11" s="301"/>
      <c r="E11" s="302"/>
      <c r="F11" s="303">
        <v>23203.07</v>
      </c>
      <c r="G11" s="304"/>
    </row>
    <row r="12" spans="1:7" ht="11.1" customHeight="1" x14ac:dyDescent="0.3">
      <c r="A12" s="28">
        <v>7</v>
      </c>
      <c r="B12" s="306" t="s">
        <v>9</v>
      </c>
      <c r="C12" s="307"/>
      <c r="D12" s="307"/>
      <c r="E12" s="308"/>
      <c r="F12" s="309">
        <v>1252</v>
      </c>
      <c r="G12" s="310"/>
    </row>
    <row r="13" spans="1:7" ht="11.1" customHeight="1" x14ac:dyDescent="0.3">
      <c r="A13" s="309"/>
      <c r="B13" s="338"/>
      <c r="C13" s="338"/>
      <c r="D13" s="338"/>
      <c r="E13" s="338"/>
      <c r="F13" s="338"/>
      <c r="G13" s="310"/>
    </row>
    <row r="14" spans="1:7" ht="11.1" customHeight="1" x14ac:dyDescent="0.3">
      <c r="A14" s="315" t="s">
        <v>99</v>
      </c>
      <c r="B14" s="316"/>
      <c r="C14" s="316"/>
      <c r="D14" s="316"/>
      <c r="E14" s="316"/>
      <c r="F14" s="316"/>
      <c r="G14" s="317"/>
    </row>
    <row r="15" spans="1:7" ht="11.1" customHeight="1" x14ac:dyDescent="0.3">
      <c r="A15" s="29"/>
      <c r="B15" s="30"/>
      <c r="C15" s="29" t="s">
        <v>19</v>
      </c>
      <c r="D15" s="29"/>
      <c r="E15" s="29"/>
      <c r="F15" s="31"/>
      <c r="G15" s="29" t="s">
        <v>19</v>
      </c>
    </row>
    <row r="16" spans="1:7" ht="11.1" customHeight="1" x14ac:dyDescent="0.3">
      <c r="A16" s="24"/>
      <c r="B16" s="2" t="s">
        <v>1</v>
      </c>
      <c r="C16" s="24" t="s">
        <v>28</v>
      </c>
      <c r="D16" s="24" t="s">
        <v>2</v>
      </c>
      <c r="E16" s="24" t="s">
        <v>16</v>
      </c>
      <c r="F16" s="32" t="s">
        <v>27</v>
      </c>
      <c r="G16" s="24" t="s">
        <v>28</v>
      </c>
    </row>
    <row r="17" spans="1:10" ht="11.1" customHeight="1" x14ac:dyDescent="0.3">
      <c r="A17" s="33"/>
      <c r="B17" s="129"/>
      <c r="C17" s="33" t="s">
        <v>24</v>
      </c>
      <c r="D17" s="33"/>
      <c r="E17" s="34"/>
      <c r="F17" s="35"/>
      <c r="G17" s="33" t="s">
        <v>30</v>
      </c>
    </row>
    <row r="18" spans="1:10" ht="11.1" customHeight="1" x14ac:dyDescent="0.3">
      <c r="A18" s="37" t="s">
        <v>20</v>
      </c>
      <c r="B18" s="131" t="s">
        <v>33</v>
      </c>
      <c r="C18" s="222"/>
      <c r="D18" s="222"/>
      <c r="E18" s="223"/>
      <c r="F18" s="223"/>
      <c r="G18" s="223"/>
    </row>
    <row r="19" spans="1:10" ht="11.1" customHeight="1" x14ac:dyDescent="0.3">
      <c r="A19" s="101"/>
      <c r="B19" s="132" t="s">
        <v>7</v>
      </c>
      <c r="C19" s="225">
        <f>516767.27-0</f>
        <v>516767.27</v>
      </c>
      <c r="D19" s="225">
        <f>4582779.37-571839.6</f>
        <v>4010939.77</v>
      </c>
      <c r="E19" s="225">
        <f>C19+D19-G19</f>
        <v>3930470.17</v>
      </c>
      <c r="F19" s="225"/>
      <c r="G19" s="225">
        <f>676160.87-78924</f>
        <v>597236.87</v>
      </c>
      <c r="H19" s="275"/>
    </row>
    <row r="20" spans="1:10" ht="11.1" customHeight="1" x14ac:dyDescent="0.3">
      <c r="A20" s="101"/>
      <c r="B20" s="132" t="s">
        <v>8</v>
      </c>
      <c r="C20" s="225">
        <f>D20/12*1.1</f>
        <v>16384.356083333332</v>
      </c>
      <c r="D20" s="225">
        <v>178738.43</v>
      </c>
      <c r="E20" s="225">
        <f>C20+D20-G20</f>
        <v>179036.32738333332</v>
      </c>
      <c r="F20" s="225"/>
      <c r="G20" s="225">
        <f>D20*9%</f>
        <v>16086.458699999999</v>
      </c>
      <c r="H20" s="275"/>
    </row>
    <row r="21" spans="1:10" ht="11.1" customHeight="1" x14ac:dyDescent="0.3">
      <c r="A21" s="101"/>
      <c r="B21" s="132" t="s">
        <v>17</v>
      </c>
      <c r="C21" s="225">
        <f>D21/12</f>
        <v>6070</v>
      </c>
      <c r="D21" s="225">
        <v>72840</v>
      </c>
      <c r="E21" s="225">
        <f>C21+D21-G21</f>
        <v>72354.399999999994</v>
      </c>
      <c r="F21" s="225"/>
      <c r="G21" s="225">
        <f>D21*9%</f>
        <v>6555.5999999999995</v>
      </c>
      <c r="H21" s="275"/>
    </row>
    <row r="22" spans="1:10" ht="11.1" customHeight="1" x14ac:dyDescent="0.3">
      <c r="A22" s="69"/>
      <c r="B22" s="134" t="s">
        <v>23</v>
      </c>
      <c r="C22" s="226">
        <f>SUM(C19:C21)</f>
        <v>539221.62608333339</v>
      </c>
      <c r="D22" s="226">
        <f t="shared" ref="D22:E22" si="0">SUM(D19:D21)</f>
        <v>4262518.2</v>
      </c>
      <c r="E22" s="226">
        <f t="shared" si="0"/>
        <v>4181860.8973833332</v>
      </c>
      <c r="F22" s="226">
        <f>D22-603.45</f>
        <v>4261914.75</v>
      </c>
      <c r="G22" s="226">
        <f>SUM(G19:G21)</f>
        <v>619878.92869999993</v>
      </c>
      <c r="H22" s="285"/>
    </row>
    <row r="23" spans="1:10" ht="11.1" customHeight="1" x14ac:dyDescent="0.3">
      <c r="A23" s="101"/>
      <c r="B23" s="135"/>
      <c r="C23" s="224"/>
      <c r="D23" s="225"/>
      <c r="E23" s="225"/>
      <c r="F23" s="225"/>
      <c r="G23" s="225"/>
      <c r="H23" s="285"/>
    </row>
    <row r="24" spans="1:10" ht="11.1" customHeight="1" x14ac:dyDescent="0.3">
      <c r="A24" s="68">
        <v>2</v>
      </c>
      <c r="B24" s="136" t="s">
        <v>34</v>
      </c>
      <c r="C24" s="227">
        <v>0</v>
      </c>
      <c r="D24" s="226">
        <v>860901.74</v>
      </c>
      <c r="E24" s="226">
        <f>D24-G24</f>
        <v>742081.95</v>
      </c>
      <c r="F24" s="226">
        <f>D24</f>
        <v>860901.74</v>
      </c>
      <c r="G24" s="226">
        <f>78924+38578.65+1317.14</f>
        <v>118819.79</v>
      </c>
      <c r="H24" s="285"/>
    </row>
    <row r="25" spans="1:10" ht="11.1" customHeight="1" x14ac:dyDescent="0.3">
      <c r="A25" s="40"/>
      <c r="B25" s="40"/>
      <c r="C25" s="228"/>
      <c r="D25" s="228"/>
      <c r="E25" s="269"/>
      <c r="F25" s="228"/>
      <c r="G25" s="269"/>
      <c r="H25" s="285"/>
    </row>
    <row r="26" spans="1:10" ht="11.1" customHeight="1" x14ac:dyDescent="0.3">
      <c r="A26" s="39" t="s">
        <v>22</v>
      </c>
      <c r="B26" s="137" t="s">
        <v>100</v>
      </c>
      <c r="C26" s="225">
        <f>280052.63-0</f>
        <v>280052.63</v>
      </c>
      <c r="D26" s="225">
        <f>D28-D27</f>
        <v>1981022.75</v>
      </c>
      <c r="E26" s="225">
        <f>C26+D26-G26</f>
        <v>2012540.2799999998</v>
      </c>
      <c r="F26" s="229"/>
      <c r="G26" s="225">
        <f>288430.89-38578.65-1317.14</f>
        <v>248535.1</v>
      </c>
      <c r="H26" s="285"/>
    </row>
    <row r="27" spans="1:10" ht="11.1" customHeight="1" x14ac:dyDescent="0.3">
      <c r="A27" s="39"/>
      <c r="B27" s="138" t="s">
        <v>37</v>
      </c>
      <c r="C27" s="225">
        <f>D27/12*1</f>
        <v>7860.0449999999992</v>
      </c>
      <c r="D27" s="225">
        <v>94320.54</v>
      </c>
      <c r="E27" s="225">
        <f>C27+D27-G27</f>
        <v>93691.736399999994</v>
      </c>
      <c r="F27" s="230"/>
      <c r="G27" s="225">
        <f>D27*9%</f>
        <v>8488.8485999999994</v>
      </c>
      <c r="H27" s="285"/>
    </row>
    <row r="28" spans="1:10" ht="11.1" customHeight="1" x14ac:dyDescent="0.3">
      <c r="A28" s="79"/>
      <c r="B28" s="140" t="s">
        <v>23</v>
      </c>
      <c r="C28" s="231">
        <f>SUM(C26:C27)</f>
        <v>287912.67499999999</v>
      </c>
      <c r="D28" s="232">
        <v>2075343.29</v>
      </c>
      <c r="E28" s="231">
        <f>SUM(E26:E27)</f>
        <v>2106232.0163999996</v>
      </c>
      <c r="F28" s="233">
        <v>2079244.69</v>
      </c>
      <c r="G28" s="231">
        <f>SUM(G26:G27)</f>
        <v>257023.9486</v>
      </c>
      <c r="H28" s="285"/>
    </row>
    <row r="29" spans="1:10" ht="11.1" customHeight="1" x14ac:dyDescent="0.3">
      <c r="A29" s="81"/>
      <c r="B29" s="82" t="s">
        <v>74</v>
      </c>
      <c r="C29" s="234">
        <f>C28+C24+C22</f>
        <v>827134.30108333332</v>
      </c>
      <c r="D29" s="234">
        <f t="shared" ref="D29:G29" si="1">D28+D24+D22</f>
        <v>7198763.2300000004</v>
      </c>
      <c r="E29" s="234">
        <f t="shared" si="1"/>
        <v>7030174.8637833325</v>
      </c>
      <c r="F29" s="234">
        <f t="shared" si="1"/>
        <v>7202061.1799999997</v>
      </c>
      <c r="G29" s="234">
        <f t="shared" si="1"/>
        <v>995722.66729999986</v>
      </c>
      <c r="H29" s="285"/>
      <c r="I29" s="287"/>
      <c r="J29" s="288"/>
    </row>
    <row r="30" spans="1:10" ht="11.1" customHeight="1" x14ac:dyDescent="0.3">
      <c r="A30" s="130"/>
      <c r="B30" s="36"/>
      <c r="C30" s="30"/>
      <c r="D30" s="36"/>
      <c r="E30" s="36"/>
      <c r="F30" s="36"/>
      <c r="G30" s="44"/>
      <c r="H30" s="285"/>
      <c r="I30" s="287"/>
      <c r="J30" s="288"/>
    </row>
    <row r="31" spans="1:10" ht="11.1" customHeight="1" x14ac:dyDescent="0.3">
      <c r="A31" s="318" t="s">
        <v>18</v>
      </c>
      <c r="B31" s="319"/>
      <c r="C31" s="319"/>
      <c r="D31" s="319"/>
      <c r="E31" s="319"/>
      <c r="F31" s="319"/>
      <c r="G31" s="45"/>
      <c r="H31" s="285"/>
      <c r="I31" s="287"/>
      <c r="J31" s="288"/>
    </row>
    <row r="32" spans="1:10" ht="11.1" customHeight="1" x14ac:dyDescent="0.3">
      <c r="A32" s="1"/>
      <c r="B32" s="2"/>
      <c r="C32" s="29" t="s">
        <v>19</v>
      </c>
      <c r="D32" s="29"/>
      <c r="E32" s="29"/>
      <c r="F32" s="31"/>
      <c r="G32" s="29" t="s">
        <v>19</v>
      </c>
      <c r="H32" s="285"/>
      <c r="I32" s="287"/>
      <c r="J32" s="288"/>
    </row>
    <row r="33" spans="1:10" ht="11.1" customHeight="1" x14ac:dyDescent="0.3">
      <c r="A33" s="1" t="s">
        <v>15</v>
      </c>
      <c r="B33" s="2" t="s">
        <v>1</v>
      </c>
      <c r="C33" s="24" t="s">
        <v>28</v>
      </c>
      <c r="D33" s="24" t="s">
        <v>2</v>
      </c>
      <c r="E33" s="24" t="s">
        <v>16</v>
      </c>
      <c r="F33" s="32" t="s">
        <v>27</v>
      </c>
      <c r="G33" s="24" t="s">
        <v>28</v>
      </c>
      <c r="H33" s="285"/>
      <c r="I33" s="287"/>
      <c r="J33" s="288"/>
    </row>
    <row r="34" spans="1:10" ht="11.1" customHeight="1" x14ac:dyDescent="0.3">
      <c r="A34" s="1"/>
      <c r="B34" s="2"/>
      <c r="C34" s="33" t="s">
        <v>24</v>
      </c>
      <c r="D34" s="33"/>
      <c r="E34" s="34"/>
      <c r="F34" s="35"/>
      <c r="G34" s="33" t="s">
        <v>30</v>
      </c>
      <c r="H34" s="285"/>
      <c r="I34" s="287"/>
      <c r="J34" s="288"/>
    </row>
    <row r="35" spans="1:10" ht="11.1" customHeight="1" x14ac:dyDescent="0.3">
      <c r="A35" s="47" t="s">
        <v>20</v>
      </c>
      <c r="B35" s="143" t="s">
        <v>21</v>
      </c>
      <c r="C35" s="38"/>
      <c r="D35" s="38"/>
      <c r="E35" s="38"/>
      <c r="F35" s="38"/>
      <c r="G35" s="38"/>
      <c r="H35" s="285"/>
      <c r="I35" s="287"/>
      <c r="J35" s="288"/>
    </row>
    <row r="36" spans="1:10" ht="11.1" customHeight="1" x14ac:dyDescent="0.3">
      <c r="A36" s="48"/>
      <c r="B36" s="40" t="s">
        <v>101</v>
      </c>
      <c r="C36" s="53">
        <v>984859.1</v>
      </c>
      <c r="D36" s="5">
        <v>5894137.96</v>
      </c>
      <c r="E36" s="56">
        <v>5857156.8499999996</v>
      </c>
      <c r="F36" s="148"/>
      <c r="G36" s="53">
        <v>1021840.21</v>
      </c>
      <c r="H36" s="285"/>
      <c r="I36" s="287"/>
      <c r="J36" s="288"/>
    </row>
    <row r="37" spans="1:10" ht="11.1" customHeight="1" x14ac:dyDescent="0.3">
      <c r="A37" s="39"/>
      <c r="B37" s="138" t="s">
        <v>117</v>
      </c>
      <c r="C37" s="54">
        <f>D37/12</f>
        <v>24312.98</v>
      </c>
      <c r="D37" s="5">
        <v>291755.76</v>
      </c>
      <c r="E37" s="113">
        <f>C37+D37-G37</f>
        <v>289810.72159999999</v>
      </c>
      <c r="F37" s="113"/>
      <c r="G37" s="54">
        <f>D37*9%</f>
        <v>26258.018400000001</v>
      </c>
      <c r="H37" s="285"/>
      <c r="I37" s="287"/>
      <c r="J37" s="288"/>
    </row>
    <row r="38" spans="1:10" ht="11.1" customHeight="1" x14ac:dyDescent="0.3">
      <c r="A38" s="39"/>
      <c r="B38" s="135" t="s">
        <v>23</v>
      </c>
      <c r="C38" s="88">
        <f>SUM(C36:C37)</f>
        <v>1009172.08</v>
      </c>
      <c r="D38" s="88">
        <f>SUM(D36:D37)</f>
        <v>6185893.7199999997</v>
      </c>
      <c r="E38" s="88">
        <f>SUM(E36:E37)</f>
        <v>6146967.5715999994</v>
      </c>
      <c r="F38" s="120">
        <f>5323690.86+105299.07</f>
        <v>5428989.9300000006</v>
      </c>
      <c r="G38" s="88">
        <f>SUM(G36:G37)</f>
        <v>1048098.2283999999</v>
      </c>
      <c r="H38" s="285"/>
      <c r="I38" s="287"/>
      <c r="J38" s="288"/>
    </row>
    <row r="39" spans="1:10" ht="11.1" customHeight="1" x14ac:dyDescent="0.3">
      <c r="A39" s="39"/>
      <c r="B39" s="138"/>
      <c r="C39" s="88"/>
      <c r="D39" s="88"/>
      <c r="E39" s="88"/>
      <c r="F39" s="88"/>
      <c r="G39" s="88"/>
      <c r="H39" s="285"/>
      <c r="I39" s="287"/>
      <c r="J39" s="288"/>
    </row>
    <row r="40" spans="1:10" ht="11.1" customHeight="1" x14ac:dyDescent="0.3">
      <c r="A40" s="49"/>
      <c r="B40" s="40" t="s">
        <v>102</v>
      </c>
      <c r="C40" s="89">
        <f>494123.72+81711.1+67318.33</f>
        <v>643153.14999999991</v>
      </c>
      <c r="D40" s="62">
        <v>3633364.1</v>
      </c>
      <c r="E40" s="89">
        <f>C40+D40-G40</f>
        <v>3569862.46</v>
      </c>
      <c r="F40" s="149"/>
      <c r="G40" s="89">
        <f>569762.2+90837.24+46055.35</f>
        <v>706654.78999999992</v>
      </c>
      <c r="H40" s="285"/>
      <c r="I40" s="287"/>
      <c r="J40" s="288"/>
    </row>
    <row r="41" spans="1:10" ht="11.1" customHeight="1" x14ac:dyDescent="0.3">
      <c r="A41" s="49"/>
      <c r="B41" s="138" t="s">
        <v>116</v>
      </c>
      <c r="C41" s="114">
        <f>D41/12</f>
        <v>8951.4466666666667</v>
      </c>
      <c r="D41" s="62">
        <v>107417.36</v>
      </c>
      <c r="E41" s="114">
        <f>C41+D41-G41</f>
        <v>106701.24426666668</v>
      </c>
      <c r="F41" s="114"/>
      <c r="G41" s="114">
        <f>D41*9%</f>
        <v>9667.5623999999989</v>
      </c>
      <c r="H41" s="285"/>
      <c r="I41" s="287"/>
      <c r="J41" s="288"/>
    </row>
    <row r="42" spans="1:10" ht="11.1" customHeight="1" x14ac:dyDescent="0.3">
      <c r="A42" s="49"/>
      <c r="B42" s="135" t="s">
        <v>23</v>
      </c>
      <c r="C42" s="63">
        <f>SUM(C40:C41)</f>
        <v>652104.59666666656</v>
      </c>
      <c r="D42" s="63">
        <f>SUM(D40:D41)</f>
        <v>3740781.46</v>
      </c>
      <c r="E42" s="63">
        <f>SUM(E40:E41)</f>
        <v>3676563.7042666664</v>
      </c>
      <c r="F42" s="121">
        <f>806705+3798067.87+2240.53+6964.6</f>
        <v>4613978</v>
      </c>
      <c r="G42" s="63">
        <f>SUM(G40:G41)</f>
        <v>716322.35239999997</v>
      </c>
      <c r="H42" s="285"/>
      <c r="I42" s="287"/>
      <c r="J42" s="288"/>
    </row>
    <row r="43" spans="1:10" ht="11.1" customHeight="1" x14ac:dyDescent="0.3">
      <c r="A43" s="101" t="s">
        <v>26</v>
      </c>
      <c r="B43" s="137" t="s">
        <v>29</v>
      </c>
      <c r="C43" s="5"/>
      <c r="D43" s="5"/>
      <c r="E43" s="5"/>
      <c r="F43" s="5"/>
      <c r="G43" s="5"/>
      <c r="H43" s="285"/>
      <c r="I43" s="287"/>
      <c r="J43" s="288"/>
    </row>
    <row r="44" spans="1:10" ht="11.1" customHeight="1" x14ac:dyDescent="0.3">
      <c r="A44" s="101"/>
      <c r="B44" s="40" t="s">
        <v>31</v>
      </c>
      <c r="C44" s="43">
        <f>226275.32+199850.35</f>
        <v>426125.67000000004</v>
      </c>
      <c r="D44" s="5">
        <f>1179633.24+1038666.11</f>
        <v>2218299.35</v>
      </c>
      <c r="E44" s="5">
        <f>C44+D44-G44</f>
        <v>2171695.2999999998</v>
      </c>
      <c r="F44" s="5"/>
      <c r="G44" s="5">
        <f>250535.01+222194.71</f>
        <v>472729.72</v>
      </c>
      <c r="H44" s="285"/>
      <c r="I44" s="287"/>
      <c r="J44" s="288"/>
    </row>
    <row r="45" spans="1:10" ht="11.1" customHeight="1" x14ac:dyDescent="0.3">
      <c r="A45" s="39"/>
      <c r="B45" s="40" t="s">
        <v>32</v>
      </c>
      <c r="C45" s="43">
        <f>D45/12</f>
        <v>9631.4316666666673</v>
      </c>
      <c r="D45" s="5">
        <f>68525.71+47051.47</f>
        <v>115577.18000000001</v>
      </c>
      <c r="E45" s="5">
        <f>C45+D45-G45</f>
        <v>114806.66546666667</v>
      </c>
      <c r="F45" s="5"/>
      <c r="G45" s="5">
        <f>D45*9%</f>
        <v>10401.9462</v>
      </c>
      <c r="H45" s="285"/>
      <c r="I45" s="287"/>
      <c r="J45" s="288"/>
    </row>
    <row r="46" spans="1:10" ht="11.1" customHeight="1" x14ac:dyDescent="0.3">
      <c r="A46" s="39"/>
      <c r="B46" s="135" t="s">
        <v>23</v>
      </c>
      <c r="C46" s="65">
        <f>SUM(C44:C45)</f>
        <v>435757.10166666668</v>
      </c>
      <c r="D46" s="63">
        <f>SUM(D44:D45)</f>
        <v>2333876.5300000003</v>
      </c>
      <c r="E46" s="63">
        <f>SUM(E44:E45)</f>
        <v>2286501.9654666665</v>
      </c>
      <c r="F46" s="63">
        <f>D46+121160.84</f>
        <v>2455037.37</v>
      </c>
      <c r="G46" s="63">
        <f>SUM(G44:G45)</f>
        <v>483131.66619999998</v>
      </c>
      <c r="H46" s="285"/>
      <c r="I46" s="287"/>
      <c r="J46" s="288"/>
    </row>
    <row r="47" spans="1:10" ht="11.1" customHeight="1" x14ac:dyDescent="0.3">
      <c r="A47" s="101"/>
      <c r="B47" s="145"/>
      <c r="C47" s="5"/>
      <c r="D47" s="13"/>
      <c r="E47" s="5"/>
      <c r="F47" s="5"/>
      <c r="G47" s="5"/>
      <c r="H47" s="285"/>
      <c r="I47" s="287"/>
      <c r="J47" s="288"/>
    </row>
    <row r="48" spans="1:10" ht="11.1" customHeight="1" x14ac:dyDescent="0.3">
      <c r="A48" s="101" t="s">
        <v>22</v>
      </c>
      <c r="B48" s="171" t="s">
        <v>120</v>
      </c>
      <c r="C48" s="5">
        <v>20209.05</v>
      </c>
      <c r="D48" s="13">
        <v>162199.60999999999</v>
      </c>
      <c r="E48" s="5">
        <f>C48+D48-G48</f>
        <v>160251.99</v>
      </c>
      <c r="F48" s="5"/>
      <c r="G48" s="5">
        <v>22156.67</v>
      </c>
      <c r="H48" s="285"/>
      <c r="I48" s="287"/>
      <c r="J48" s="288"/>
    </row>
    <row r="49" spans="1:10" ht="11.1" customHeight="1" x14ac:dyDescent="0.3">
      <c r="A49" s="1"/>
      <c r="B49" s="279" t="s">
        <v>117</v>
      </c>
      <c r="C49" s="17">
        <f>D49/12</f>
        <v>665.2741666666667</v>
      </c>
      <c r="D49" s="107">
        <v>7983.29</v>
      </c>
      <c r="E49" s="5">
        <f>C49+D49-G49</f>
        <v>7930.0680666666667</v>
      </c>
      <c r="F49" s="17"/>
      <c r="G49" s="17">
        <f>D49*9%</f>
        <v>718.49609999999996</v>
      </c>
      <c r="H49" s="285"/>
      <c r="I49" s="287"/>
      <c r="J49" s="288"/>
    </row>
    <row r="50" spans="1:10" ht="11.1" customHeight="1" x14ac:dyDescent="0.3">
      <c r="A50" s="1"/>
      <c r="B50" s="135" t="s">
        <v>23</v>
      </c>
      <c r="C50" s="7">
        <f>SUM(C48:C49)</f>
        <v>20874.324166666665</v>
      </c>
      <c r="D50" s="7">
        <f t="shared" ref="D50:G50" si="2">SUM(D48:D49)</f>
        <v>170182.9</v>
      </c>
      <c r="E50" s="7">
        <f t="shared" si="2"/>
        <v>168182.05806666665</v>
      </c>
      <c r="F50" s="7">
        <f>D50</f>
        <v>170182.9</v>
      </c>
      <c r="G50" s="7">
        <f t="shared" si="2"/>
        <v>22875.166099999999</v>
      </c>
      <c r="H50" s="285"/>
      <c r="I50" s="287"/>
      <c r="J50" s="288"/>
    </row>
    <row r="51" spans="1:10" ht="11.1" customHeight="1" x14ac:dyDescent="0.3">
      <c r="A51" s="1"/>
      <c r="B51" s="278" t="s">
        <v>119</v>
      </c>
      <c r="C51" s="7"/>
      <c r="D51" s="21"/>
      <c r="E51" s="7"/>
      <c r="F51" s="7"/>
      <c r="G51" s="7"/>
      <c r="H51" s="285"/>
      <c r="I51" s="287"/>
      <c r="J51" s="288"/>
    </row>
    <row r="52" spans="1:10" ht="11.1" customHeight="1" x14ac:dyDescent="0.3">
      <c r="A52" s="95"/>
      <c r="B52" s="82" t="s">
        <v>74</v>
      </c>
      <c r="C52" s="91">
        <f>C50+C46+C42+C38</f>
        <v>2117908.1025</v>
      </c>
      <c r="D52" s="91">
        <f t="shared" ref="D52:F52" si="3">D50+D46+D42+D38</f>
        <v>12430734.609999999</v>
      </c>
      <c r="E52" s="91">
        <f t="shared" si="3"/>
        <v>12278215.299399998</v>
      </c>
      <c r="F52" s="91">
        <f t="shared" si="3"/>
        <v>12668188.199999999</v>
      </c>
      <c r="G52" s="91">
        <f>G50+G46+G42+G38</f>
        <v>2270427.4130999995</v>
      </c>
      <c r="H52" s="285"/>
      <c r="I52" s="287"/>
      <c r="J52" s="288"/>
    </row>
    <row r="53" spans="1:10" ht="11.1" customHeight="1" x14ac:dyDescent="0.3">
      <c r="A53" s="150"/>
      <c r="B53" s="150"/>
      <c r="C53" s="150"/>
      <c r="D53" s="150"/>
      <c r="E53" s="150"/>
      <c r="F53" s="150"/>
      <c r="G53" s="150"/>
      <c r="H53" s="285"/>
      <c r="I53" s="287"/>
      <c r="J53" s="288"/>
    </row>
    <row r="54" spans="1:10" ht="11.1" customHeight="1" x14ac:dyDescent="0.3">
      <c r="A54" s="150"/>
      <c r="B54" s="150"/>
      <c r="C54" s="150"/>
      <c r="D54" s="150"/>
      <c r="E54" s="150"/>
      <c r="F54" s="150"/>
      <c r="G54" s="150"/>
      <c r="H54" s="285"/>
      <c r="I54" s="287"/>
      <c r="J54" s="288"/>
    </row>
    <row r="55" spans="1:10" ht="11.1" customHeight="1" x14ac:dyDescent="0.3">
      <c r="A55" s="305" t="s">
        <v>6</v>
      </c>
      <c r="B55" s="305"/>
      <c r="C55" s="305"/>
      <c r="D55" s="305"/>
      <c r="E55" s="305"/>
      <c r="F55" s="305"/>
      <c r="G55" s="305"/>
      <c r="H55" s="285"/>
      <c r="I55" s="287"/>
      <c r="J55" s="288"/>
    </row>
    <row r="56" spans="1:10" ht="11.1" customHeight="1" x14ac:dyDescent="0.3">
      <c r="A56" s="305" t="s">
        <v>35</v>
      </c>
      <c r="B56" s="305"/>
      <c r="C56" s="305"/>
      <c r="D56" s="305"/>
      <c r="E56" s="305"/>
      <c r="F56" s="305"/>
      <c r="G56" s="305"/>
      <c r="H56" s="285"/>
      <c r="I56" s="287"/>
      <c r="J56" s="288"/>
    </row>
    <row r="57" spans="1:10" ht="11.1" customHeight="1" x14ac:dyDescent="0.3">
      <c r="A57" s="305" t="s">
        <v>36</v>
      </c>
      <c r="B57" s="305"/>
      <c r="C57" s="305"/>
      <c r="D57" s="305"/>
      <c r="E57" s="305"/>
      <c r="F57" s="305"/>
      <c r="G57" s="305"/>
      <c r="H57" s="285"/>
      <c r="I57" s="287"/>
      <c r="J57" s="288"/>
    </row>
    <row r="58" spans="1:10" ht="11.1" customHeight="1" x14ac:dyDescent="0.3">
      <c r="A58" s="339" t="s">
        <v>38</v>
      </c>
      <c r="B58" s="340"/>
      <c r="C58" s="340"/>
      <c r="D58" s="340"/>
      <c r="E58" s="340"/>
      <c r="F58" s="340"/>
      <c r="G58" s="341"/>
      <c r="H58" s="285"/>
      <c r="I58" s="287"/>
      <c r="J58" s="288"/>
    </row>
    <row r="59" spans="1:10" ht="11.1" customHeight="1" x14ac:dyDescent="0.3">
      <c r="A59" s="25"/>
      <c r="B59" s="292" t="s">
        <v>3</v>
      </c>
      <c r="C59" s="293"/>
      <c r="D59" s="293"/>
      <c r="E59" s="293"/>
      <c r="F59" s="293"/>
      <c r="G59" s="294"/>
      <c r="H59" s="285"/>
      <c r="I59" s="287"/>
      <c r="J59" s="288"/>
    </row>
    <row r="60" spans="1:10" ht="11.1" customHeight="1" x14ac:dyDescent="0.3">
      <c r="A60" s="26">
        <v>1</v>
      </c>
      <c r="B60" s="295" t="s">
        <v>4</v>
      </c>
      <c r="C60" s="296"/>
      <c r="D60" s="296"/>
      <c r="E60" s="297"/>
      <c r="F60" s="298">
        <v>1989.1992</v>
      </c>
      <c r="G60" s="299"/>
      <c r="H60" s="285"/>
      <c r="I60" s="287"/>
      <c r="J60" s="288"/>
    </row>
    <row r="61" spans="1:10" ht="11.1" customHeight="1" x14ac:dyDescent="0.3">
      <c r="A61" s="27">
        <v>2</v>
      </c>
      <c r="B61" s="300" t="s">
        <v>12</v>
      </c>
      <c r="C61" s="301"/>
      <c r="D61" s="301"/>
      <c r="E61" s="302"/>
      <c r="F61" s="303">
        <v>16</v>
      </c>
      <c r="G61" s="304"/>
      <c r="H61" s="285"/>
      <c r="I61" s="287"/>
      <c r="J61" s="288"/>
    </row>
    <row r="62" spans="1:10" ht="11.1" customHeight="1" x14ac:dyDescent="0.3">
      <c r="A62" s="27">
        <v>3</v>
      </c>
      <c r="B62" s="300" t="s">
        <v>14</v>
      </c>
      <c r="C62" s="301"/>
      <c r="D62" s="301"/>
      <c r="E62" s="302"/>
      <c r="F62" s="303">
        <v>2</v>
      </c>
      <c r="G62" s="304"/>
      <c r="H62" s="285"/>
      <c r="I62" s="287"/>
      <c r="J62" s="288"/>
    </row>
    <row r="63" spans="1:10" ht="11.1" customHeight="1" x14ac:dyDescent="0.3">
      <c r="A63" s="27">
        <v>4</v>
      </c>
      <c r="B63" s="300" t="s">
        <v>13</v>
      </c>
      <c r="C63" s="301"/>
      <c r="D63" s="301"/>
      <c r="E63" s="302"/>
      <c r="F63" s="303">
        <v>154</v>
      </c>
      <c r="G63" s="304"/>
      <c r="H63" s="285"/>
      <c r="I63" s="287"/>
      <c r="J63" s="288"/>
    </row>
    <row r="64" spans="1:10" ht="11.1" customHeight="1" x14ac:dyDescent="0.3">
      <c r="A64" s="27">
        <v>5</v>
      </c>
      <c r="B64" s="300" t="s">
        <v>10</v>
      </c>
      <c r="C64" s="301"/>
      <c r="D64" s="301"/>
      <c r="E64" s="302"/>
      <c r="F64" s="303">
        <v>2098.6</v>
      </c>
      <c r="G64" s="304"/>
      <c r="H64" s="285"/>
      <c r="I64" s="287"/>
      <c r="J64" s="288"/>
    </row>
    <row r="65" spans="1:10" ht="11.1" customHeight="1" x14ac:dyDescent="0.3">
      <c r="A65" s="27">
        <v>6</v>
      </c>
      <c r="B65" s="300" t="s">
        <v>11</v>
      </c>
      <c r="C65" s="301"/>
      <c r="D65" s="301"/>
      <c r="E65" s="302"/>
      <c r="F65" s="303">
        <v>10310.799999999999</v>
      </c>
      <c r="G65" s="304"/>
      <c r="H65" s="285"/>
      <c r="I65" s="287"/>
      <c r="J65" s="288"/>
    </row>
    <row r="66" spans="1:10" ht="11.1" customHeight="1" x14ac:dyDescent="0.3">
      <c r="A66" s="28">
        <v>7</v>
      </c>
      <c r="B66" s="306" t="s">
        <v>9</v>
      </c>
      <c r="C66" s="307"/>
      <c r="D66" s="307"/>
      <c r="E66" s="308"/>
      <c r="F66" s="309">
        <v>398.5</v>
      </c>
      <c r="G66" s="310"/>
      <c r="H66" s="285"/>
      <c r="I66" s="287"/>
      <c r="J66" s="288"/>
    </row>
    <row r="67" spans="1:10" ht="11.1" customHeight="1" x14ac:dyDescent="0.3">
      <c r="A67" s="342"/>
      <c r="B67" s="343"/>
      <c r="C67" s="343"/>
      <c r="D67" s="343"/>
      <c r="E67" s="343"/>
      <c r="F67" s="343"/>
      <c r="G67" s="344"/>
      <c r="H67" s="285"/>
      <c r="I67" s="287"/>
      <c r="J67" s="288"/>
    </row>
    <row r="68" spans="1:10" ht="11.1" customHeight="1" x14ac:dyDescent="0.3">
      <c r="A68" s="315" t="s">
        <v>99</v>
      </c>
      <c r="B68" s="316"/>
      <c r="C68" s="316"/>
      <c r="D68" s="316"/>
      <c r="E68" s="316"/>
      <c r="F68" s="316"/>
      <c r="G68" s="317"/>
      <c r="H68" s="285"/>
      <c r="I68" s="287"/>
      <c r="J68" s="288"/>
    </row>
    <row r="69" spans="1:10" ht="11.1" customHeight="1" x14ac:dyDescent="0.3">
      <c r="A69" s="29"/>
      <c r="B69" s="30"/>
      <c r="C69" s="29" t="s">
        <v>19</v>
      </c>
      <c r="D69" s="29"/>
      <c r="E69" s="29"/>
      <c r="F69" s="31"/>
      <c r="G69" s="29" t="s">
        <v>19</v>
      </c>
      <c r="H69" s="285"/>
      <c r="I69" s="287"/>
      <c r="J69" s="288"/>
    </row>
    <row r="70" spans="1:10" ht="11.1" customHeight="1" x14ac:dyDescent="0.3">
      <c r="A70" s="24"/>
      <c r="B70" s="2" t="s">
        <v>1</v>
      </c>
      <c r="C70" s="24" t="s">
        <v>28</v>
      </c>
      <c r="D70" s="24" t="s">
        <v>2</v>
      </c>
      <c r="E70" s="24" t="s">
        <v>16</v>
      </c>
      <c r="F70" s="32" t="s">
        <v>27</v>
      </c>
      <c r="G70" s="24" t="s">
        <v>28</v>
      </c>
      <c r="H70" s="285"/>
      <c r="I70" s="287"/>
      <c r="J70" s="288"/>
    </row>
    <row r="71" spans="1:10" ht="11.1" customHeight="1" x14ac:dyDescent="0.3">
      <c r="A71" s="33"/>
      <c r="B71" s="129"/>
      <c r="C71" s="33" t="s">
        <v>24</v>
      </c>
      <c r="D71" s="33"/>
      <c r="E71" s="34"/>
      <c r="F71" s="35"/>
      <c r="G71" s="33" t="s">
        <v>30</v>
      </c>
      <c r="H71" s="285"/>
      <c r="I71" s="287"/>
      <c r="J71" s="288"/>
    </row>
    <row r="72" spans="1:10" ht="11.1" customHeight="1" x14ac:dyDescent="0.3">
      <c r="A72" s="37" t="s">
        <v>20</v>
      </c>
      <c r="B72" s="131" t="s">
        <v>33</v>
      </c>
      <c r="C72" s="151"/>
      <c r="D72" s="151"/>
      <c r="E72" s="61"/>
      <c r="F72" s="61"/>
      <c r="G72" s="61"/>
      <c r="H72" s="285"/>
      <c r="I72" s="287"/>
      <c r="J72" s="288"/>
    </row>
    <row r="73" spans="1:10" ht="11.1" customHeight="1" x14ac:dyDescent="0.3">
      <c r="A73" s="101"/>
      <c r="B73" s="132" t="s">
        <v>7</v>
      </c>
      <c r="C73" s="62">
        <f>263505.59-0</f>
        <v>263505.59000000003</v>
      </c>
      <c r="D73" s="62">
        <v>1806902.52</v>
      </c>
      <c r="E73" s="62">
        <f>C73+D73-G73</f>
        <v>1834746.56</v>
      </c>
      <c r="F73" s="62"/>
      <c r="G73" s="62">
        <f>275605.93-39944.38</f>
        <v>235661.55</v>
      </c>
      <c r="H73" s="285"/>
      <c r="I73" s="287"/>
      <c r="J73" s="288"/>
    </row>
    <row r="74" spans="1:10" ht="11.1" customHeight="1" x14ac:dyDescent="0.3">
      <c r="A74" s="101"/>
      <c r="B74" s="132" t="s">
        <v>8</v>
      </c>
      <c r="C74" s="62">
        <f>D74/12</f>
        <v>5165.5566666666664</v>
      </c>
      <c r="D74" s="62">
        <v>61986.68</v>
      </c>
      <c r="E74" s="62">
        <f>C74+D74-G74</f>
        <v>60953.568666666666</v>
      </c>
      <c r="F74" s="63"/>
      <c r="G74" s="62">
        <f>D74*10%</f>
        <v>6198.6680000000006</v>
      </c>
      <c r="H74" s="285"/>
      <c r="I74" s="287"/>
      <c r="J74" s="288"/>
    </row>
    <row r="75" spans="1:10" ht="11.1" customHeight="1" x14ac:dyDescent="0.3">
      <c r="A75" s="101"/>
      <c r="B75" s="132" t="s">
        <v>17</v>
      </c>
      <c r="C75" s="62">
        <f>D75/12</f>
        <v>3666.6666666666665</v>
      </c>
      <c r="D75" s="62">
        <v>44000</v>
      </c>
      <c r="E75" s="62">
        <f>C75+D75-G75</f>
        <v>44146.666666666664</v>
      </c>
      <c r="F75" s="62"/>
      <c r="G75" s="62">
        <f>D75*8%</f>
        <v>3520</v>
      </c>
      <c r="H75" s="285"/>
      <c r="I75" s="287"/>
      <c r="J75" s="288"/>
    </row>
    <row r="76" spans="1:10" ht="11.1" customHeight="1" x14ac:dyDescent="0.3">
      <c r="A76" s="101"/>
      <c r="B76" s="135" t="s">
        <v>23</v>
      </c>
      <c r="C76" s="63">
        <f>SUM(C73:C75)</f>
        <v>272337.81333333335</v>
      </c>
      <c r="D76" s="63">
        <f t="shared" ref="D76:E76" si="4">SUM(D73:D75)</f>
        <v>1912889.2</v>
      </c>
      <c r="E76" s="63">
        <f t="shared" si="4"/>
        <v>1939846.7953333335</v>
      </c>
      <c r="F76" s="63">
        <f>D76+790.01</f>
        <v>1913679.21</v>
      </c>
      <c r="G76" s="63">
        <f>SUM(G73:G75)</f>
        <v>245380.21799999999</v>
      </c>
      <c r="H76" s="285"/>
      <c r="I76" s="287"/>
      <c r="J76" s="288"/>
    </row>
    <row r="77" spans="1:10" ht="11.1" customHeight="1" x14ac:dyDescent="0.3">
      <c r="A77" s="101"/>
      <c r="B77" s="135"/>
      <c r="C77" s="62"/>
      <c r="D77" s="62"/>
      <c r="E77" s="62"/>
      <c r="F77" s="62"/>
      <c r="G77" s="62"/>
      <c r="H77" s="285"/>
      <c r="I77" s="287"/>
      <c r="J77" s="288"/>
    </row>
    <row r="78" spans="1:10" ht="11.1" customHeight="1" x14ac:dyDescent="0.3">
      <c r="A78" s="39">
        <v>2</v>
      </c>
      <c r="B78" s="152" t="s">
        <v>34</v>
      </c>
      <c r="C78" s="63">
        <v>0</v>
      </c>
      <c r="D78" s="63">
        <v>393459.72</v>
      </c>
      <c r="E78" s="63">
        <f>D78-G78</f>
        <v>334447.84999999998</v>
      </c>
      <c r="F78" s="63">
        <f>D78</f>
        <v>393459.72</v>
      </c>
      <c r="G78" s="63">
        <f>39944.38+18546.77+520.72</f>
        <v>59011.869999999995</v>
      </c>
      <c r="H78" s="285"/>
      <c r="I78" s="287"/>
      <c r="J78" s="288"/>
    </row>
    <row r="79" spans="1:10" ht="11.1" customHeight="1" x14ac:dyDescent="0.3">
      <c r="A79" s="40"/>
      <c r="B79" s="40"/>
      <c r="C79" s="153"/>
      <c r="D79" s="153"/>
      <c r="E79" s="153"/>
      <c r="F79" s="153"/>
      <c r="G79" s="153"/>
      <c r="H79" s="285"/>
      <c r="I79" s="287"/>
      <c r="J79" s="288"/>
    </row>
    <row r="80" spans="1:10" ht="11.1" customHeight="1" x14ac:dyDescent="0.3">
      <c r="A80" s="39" t="s">
        <v>22</v>
      </c>
      <c r="B80" s="137" t="s">
        <v>103</v>
      </c>
      <c r="C80" s="62">
        <f>104770.124</f>
        <v>104770.124</v>
      </c>
      <c r="D80" s="62">
        <f>679274.76</f>
        <v>679274.76</v>
      </c>
      <c r="E80" s="62">
        <f>C80+D80-G80</f>
        <v>696314.83400000003</v>
      </c>
      <c r="F80" s="154"/>
      <c r="G80" s="62">
        <f>106797.54-18546.77-520.72</f>
        <v>87730.049999999988</v>
      </c>
      <c r="H80" s="285"/>
      <c r="I80" s="287"/>
      <c r="J80" s="288"/>
    </row>
    <row r="81" spans="1:10" ht="11.1" customHeight="1" x14ac:dyDescent="0.3">
      <c r="A81" s="39"/>
      <c r="B81" s="163" t="s">
        <v>37</v>
      </c>
      <c r="C81" s="62">
        <f>D81/12</f>
        <v>2597.2241666666664</v>
      </c>
      <c r="D81" s="62">
        <v>31166.69</v>
      </c>
      <c r="E81" s="62">
        <f>C81+D81-G81</f>
        <v>30647.24516666666</v>
      </c>
      <c r="F81" s="155"/>
      <c r="G81" s="62">
        <f>D81*10%</f>
        <v>3116.6689999999999</v>
      </c>
      <c r="H81" s="285"/>
      <c r="I81" s="287"/>
      <c r="J81" s="288"/>
    </row>
    <row r="82" spans="1:10" ht="11.1" customHeight="1" x14ac:dyDescent="0.3">
      <c r="A82" s="87"/>
      <c r="B82" s="268" t="s">
        <v>23</v>
      </c>
      <c r="C82" s="66">
        <f>SUM(C80:C81)</f>
        <v>107367.34816666666</v>
      </c>
      <c r="D82" s="66">
        <f>SUM(D80:D81)</f>
        <v>710441.45</v>
      </c>
      <c r="E82" s="66">
        <f>SUM(E80:E81)</f>
        <v>726962.07916666672</v>
      </c>
      <c r="F82" s="67">
        <v>973061.97</v>
      </c>
      <c r="G82" s="66">
        <f>SUM(G80:G81)</f>
        <v>90846.718999999983</v>
      </c>
      <c r="H82" s="285"/>
      <c r="I82" s="287"/>
      <c r="J82" s="288"/>
    </row>
    <row r="83" spans="1:10" ht="11.1" customHeight="1" x14ac:dyDescent="0.3">
      <c r="A83" s="236"/>
      <c r="B83" s="237"/>
      <c r="C83" s="238"/>
      <c r="D83" s="238"/>
      <c r="E83" s="238"/>
      <c r="F83" s="239"/>
      <c r="G83" s="238"/>
      <c r="H83" s="285"/>
      <c r="I83" s="287"/>
      <c r="J83" s="288"/>
    </row>
    <row r="84" spans="1:10" ht="11.1" customHeight="1" x14ac:dyDescent="0.3">
      <c r="A84" s="81"/>
      <c r="B84" s="82" t="s">
        <v>74</v>
      </c>
      <c r="C84" s="90">
        <f>C82+C78+C76</f>
        <v>379705.16150000005</v>
      </c>
      <c r="D84" s="90">
        <f>D82+D78+D76</f>
        <v>3016790.37</v>
      </c>
      <c r="E84" s="90">
        <f>E82+E78+E76</f>
        <v>3001256.7245000005</v>
      </c>
      <c r="F84" s="90">
        <f>F82+F78+F76</f>
        <v>3280200.9</v>
      </c>
      <c r="G84" s="90">
        <f>G82+G78+G76</f>
        <v>395238.80699999997</v>
      </c>
      <c r="H84" s="285"/>
      <c r="I84" s="287"/>
      <c r="J84" s="288"/>
    </row>
    <row r="85" spans="1:10" ht="11.1" customHeight="1" x14ac:dyDescent="0.3">
      <c r="A85" s="130"/>
      <c r="B85" s="36"/>
      <c r="C85" s="30"/>
      <c r="D85" s="36"/>
      <c r="E85" s="36"/>
      <c r="F85" s="36"/>
      <c r="G85" s="44"/>
      <c r="H85" s="285"/>
      <c r="I85" s="287"/>
      <c r="J85" s="288"/>
    </row>
    <row r="86" spans="1:10" ht="11.1" customHeight="1" x14ac:dyDescent="0.3">
      <c r="A86" s="318" t="s">
        <v>18</v>
      </c>
      <c r="B86" s="319"/>
      <c r="C86" s="319"/>
      <c r="D86" s="319"/>
      <c r="E86" s="319"/>
      <c r="F86" s="319"/>
      <c r="G86" s="45"/>
      <c r="H86" s="285"/>
      <c r="I86" s="287"/>
      <c r="J86" s="288"/>
    </row>
    <row r="87" spans="1:10" ht="11.1" customHeight="1" x14ac:dyDescent="0.3">
      <c r="A87" s="1"/>
      <c r="B87" s="2"/>
      <c r="C87" s="29" t="s">
        <v>19</v>
      </c>
      <c r="D87" s="29"/>
      <c r="E87" s="29"/>
      <c r="F87" s="31"/>
      <c r="G87" s="29" t="s">
        <v>19</v>
      </c>
      <c r="H87" s="285"/>
      <c r="I87" s="287"/>
      <c r="J87" s="288"/>
    </row>
    <row r="88" spans="1:10" ht="11.1" customHeight="1" x14ac:dyDescent="0.3">
      <c r="A88" s="1" t="s">
        <v>15</v>
      </c>
      <c r="B88" s="2" t="s">
        <v>1</v>
      </c>
      <c r="C88" s="24" t="s">
        <v>28</v>
      </c>
      <c r="D88" s="24" t="s">
        <v>2</v>
      </c>
      <c r="E88" s="24" t="s">
        <v>16</v>
      </c>
      <c r="F88" s="32" t="s">
        <v>27</v>
      </c>
      <c r="G88" s="24" t="s">
        <v>28</v>
      </c>
      <c r="H88" s="285"/>
      <c r="I88" s="287"/>
      <c r="J88" s="288"/>
    </row>
    <row r="89" spans="1:10" ht="11.1" customHeight="1" x14ac:dyDescent="0.3">
      <c r="A89" s="1" t="s">
        <v>0</v>
      </c>
      <c r="B89" s="2"/>
      <c r="C89" s="33" t="s">
        <v>24</v>
      </c>
      <c r="D89" s="33"/>
      <c r="E89" s="34"/>
      <c r="F89" s="35"/>
      <c r="G89" s="33" t="s">
        <v>30</v>
      </c>
      <c r="H89" s="285"/>
      <c r="I89" s="287"/>
      <c r="J89" s="288"/>
    </row>
    <row r="90" spans="1:10" ht="11.1" customHeight="1" x14ac:dyDescent="0.3">
      <c r="A90" s="47" t="s">
        <v>20</v>
      </c>
      <c r="B90" s="143" t="s">
        <v>21</v>
      </c>
      <c r="C90" s="38"/>
      <c r="D90" s="38"/>
      <c r="E90" s="38"/>
      <c r="F90" s="38"/>
      <c r="G90" s="38"/>
      <c r="H90" s="285"/>
      <c r="I90" s="287"/>
      <c r="J90" s="288"/>
    </row>
    <row r="91" spans="1:10" ht="11.1" customHeight="1" x14ac:dyDescent="0.3">
      <c r="A91" s="48"/>
      <c r="B91" s="40" t="s">
        <v>104</v>
      </c>
      <c r="C91" s="57">
        <v>404767.45</v>
      </c>
      <c r="D91" s="5">
        <v>2699467.38</v>
      </c>
      <c r="E91" s="71">
        <f>C91+D91-G91</f>
        <v>2700473.7</v>
      </c>
      <c r="F91" s="148"/>
      <c r="G91" s="57">
        <v>403761.13</v>
      </c>
      <c r="H91" s="285"/>
      <c r="I91" s="287"/>
      <c r="J91" s="288"/>
    </row>
    <row r="92" spans="1:10" ht="11.1" customHeight="1" x14ac:dyDescent="0.3">
      <c r="A92" s="39"/>
      <c r="B92" s="138" t="s">
        <v>117</v>
      </c>
      <c r="C92" s="57">
        <f>D92/12</f>
        <v>8612.6674999999996</v>
      </c>
      <c r="D92" s="5">
        <v>103352.01</v>
      </c>
      <c r="E92" s="71">
        <f>C92+D92-G92</f>
        <v>103696.51669999999</v>
      </c>
      <c r="F92" s="118"/>
      <c r="G92" s="57">
        <f>D92*8%</f>
        <v>8268.1607999999997</v>
      </c>
      <c r="H92" s="285"/>
      <c r="I92" s="287"/>
      <c r="J92" s="288"/>
    </row>
    <row r="93" spans="1:10" ht="11.1" customHeight="1" x14ac:dyDescent="0.3">
      <c r="A93" s="39"/>
      <c r="B93" s="138"/>
      <c r="C93" s="104">
        <f>SUM(C91:C92)</f>
        <v>413380.11749999999</v>
      </c>
      <c r="D93" s="104">
        <f>SUM(D91:D92)</f>
        <v>2802819.3899999997</v>
      </c>
      <c r="E93" s="104">
        <f>SUM(E91:E92)</f>
        <v>2804170.2167000002</v>
      </c>
      <c r="F93" s="120">
        <f>2576479.28+48971.81</f>
        <v>2625451.09</v>
      </c>
      <c r="G93" s="104">
        <f>SUM(G91:G92)</f>
        <v>412029.29080000002</v>
      </c>
      <c r="H93" s="285"/>
      <c r="I93" s="287"/>
      <c r="J93" s="288"/>
    </row>
    <row r="94" spans="1:10" ht="11.1" customHeight="1" x14ac:dyDescent="0.3">
      <c r="A94" s="39"/>
      <c r="B94" s="138"/>
      <c r="C94" s="104"/>
      <c r="D94" s="104"/>
      <c r="E94" s="104"/>
      <c r="F94" s="104"/>
      <c r="G94" s="104"/>
      <c r="H94" s="285"/>
      <c r="I94" s="287"/>
      <c r="J94" s="288"/>
    </row>
    <row r="95" spans="1:10" ht="11.1" customHeight="1" x14ac:dyDescent="0.3">
      <c r="A95" s="49"/>
      <c r="B95" s="40" t="s">
        <v>105</v>
      </c>
      <c r="C95" s="71">
        <f>159080.07+21555.98+47773.05</f>
        <v>228409.10000000003</v>
      </c>
      <c r="D95" s="5">
        <v>1654815.34</v>
      </c>
      <c r="E95" s="71">
        <f>C95+D95-G95</f>
        <v>1647182.0400000003</v>
      </c>
      <c r="F95" s="148"/>
      <c r="G95" s="71">
        <f>181874.28+34402.15+19765.97</f>
        <v>236042.4</v>
      </c>
      <c r="H95" s="285"/>
      <c r="I95" s="287"/>
      <c r="J95" s="288"/>
    </row>
    <row r="96" spans="1:10" ht="11.1" customHeight="1" x14ac:dyDescent="0.3">
      <c r="A96" s="49"/>
      <c r="B96" s="138" t="s">
        <v>117</v>
      </c>
      <c r="C96" s="71">
        <f>D96/12</f>
        <v>1599.9125000000001</v>
      </c>
      <c r="D96" s="5">
        <v>19198.95</v>
      </c>
      <c r="E96" s="71">
        <f>C96+D96-G96</f>
        <v>19262.946499999998</v>
      </c>
      <c r="F96" s="118"/>
      <c r="G96" s="71">
        <f>D96*8%</f>
        <v>1535.9160000000002</v>
      </c>
      <c r="H96" s="285"/>
      <c r="I96" s="287"/>
      <c r="J96" s="288"/>
    </row>
    <row r="97" spans="1:10" ht="11.1" customHeight="1" x14ac:dyDescent="0.3">
      <c r="A97" s="49"/>
      <c r="B97" s="135" t="s">
        <v>23</v>
      </c>
      <c r="C97" s="50">
        <f>SUM(C95:C96)</f>
        <v>230009.01250000004</v>
      </c>
      <c r="D97" s="50">
        <f>SUM(D95:D96)</f>
        <v>1674014.29</v>
      </c>
      <c r="E97" s="50">
        <f>SUM(E95:E96)</f>
        <v>1666444.9865000003</v>
      </c>
      <c r="F97" s="120">
        <f>436448.92+1743230.05+1943.59+2330.82</f>
        <v>2183953.38</v>
      </c>
      <c r="G97" s="50">
        <f>SUM(G95:G96)</f>
        <v>237578.31599999999</v>
      </c>
      <c r="H97" s="285"/>
      <c r="I97" s="287"/>
      <c r="J97" s="288"/>
    </row>
    <row r="98" spans="1:10" ht="11.1" customHeight="1" x14ac:dyDescent="0.3">
      <c r="A98" s="101" t="s">
        <v>26</v>
      </c>
      <c r="B98" s="40" t="s">
        <v>29</v>
      </c>
      <c r="C98" s="5"/>
      <c r="D98" s="5"/>
      <c r="E98" s="5"/>
      <c r="F98" s="5"/>
      <c r="G98" s="5"/>
      <c r="H98" s="285"/>
      <c r="I98" s="287"/>
      <c r="J98" s="288"/>
    </row>
    <row r="99" spans="1:10" ht="11.1" customHeight="1" x14ac:dyDescent="0.3">
      <c r="A99" s="101"/>
      <c r="B99" s="40" t="s">
        <v>31</v>
      </c>
      <c r="C99" s="43">
        <f>60350.41+63207.18</f>
        <v>123557.59</v>
      </c>
      <c r="D99" s="5">
        <f>449430.53+437498.88</f>
        <v>886929.41</v>
      </c>
      <c r="E99" s="5">
        <f>C99+D99-G99</f>
        <v>869696.4</v>
      </c>
      <c r="F99" s="5"/>
      <c r="G99" s="5">
        <f>71380.9+69409.7</f>
        <v>140790.59999999998</v>
      </c>
      <c r="H99" s="285"/>
      <c r="I99" s="287"/>
      <c r="J99" s="288"/>
    </row>
    <row r="100" spans="1:10" ht="11.1" customHeight="1" x14ac:dyDescent="0.3">
      <c r="A100" s="39"/>
      <c r="B100" s="40" t="s">
        <v>32</v>
      </c>
      <c r="C100" s="43">
        <f>D100/12</f>
        <v>641.52166666666665</v>
      </c>
      <c r="D100" s="5">
        <v>7698.26</v>
      </c>
      <c r="E100" s="5">
        <f>C100+D100-G100</f>
        <v>7723.9208666666673</v>
      </c>
      <c r="F100" s="5"/>
      <c r="G100" s="5">
        <f>D100*8%</f>
        <v>615.86080000000004</v>
      </c>
      <c r="H100" s="285"/>
      <c r="I100" s="287"/>
      <c r="J100" s="288"/>
    </row>
    <row r="101" spans="1:10" ht="11.1" customHeight="1" x14ac:dyDescent="0.3">
      <c r="A101" s="39"/>
      <c r="B101" s="135" t="s">
        <v>23</v>
      </c>
      <c r="C101" s="58">
        <f>SUM(C99:C100)</f>
        <v>124199.11166666666</v>
      </c>
      <c r="D101" s="50">
        <f>SUM(D99:D100)</f>
        <v>894627.67</v>
      </c>
      <c r="E101" s="50">
        <f>SUM(E99:E100)</f>
        <v>877420.32086666673</v>
      </c>
      <c r="F101" s="50">
        <f>D101</f>
        <v>894627.67</v>
      </c>
      <c r="G101" s="50">
        <f>SUM(G99:G100)</f>
        <v>141406.46079999997</v>
      </c>
      <c r="H101" s="285"/>
      <c r="I101" s="287"/>
      <c r="J101" s="288"/>
    </row>
    <row r="102" spans="1:10" ht="11.1" customHeight="1" x14ac:dyDescent="0.3">
      <c r="A102" s="101"/>
      <c r="B102" s="115"/>
      <c r="C102" s="5"/>
      <c r="D102" s="13"/>
      <c r="E102" s="5"/>
      <c r="F102" s="5"/>
      <c r="G102" s="5"/>
      <c r="H102" s="285"/>
      <c r="I102" s="287"/>
      <c r="J102" s="288"/>
    </row>
    <row r="103" spans="1:10" ht="11.1" customHeight="1" x14ac:dyDescent="0.3">
      <c r="A103" s="102">
        <v>3</v>
      </c>
      <c r="B103" s="192" t="s">
        <v>69</v>
      </c>
      <c r="C103" s="10">
        <v>128270.14</v>
      </c>
      <c r="D103" s="157">
        <v>996229.32</v>
      </c>
      <c r="E103" s="117">
        <v>1031275.78</v>
      </c>
      <c r="F103" s="117">
        <f>889515+167830.84</f>
        <v>1057345.8400000001</v>
      </c>
      <c r="G103" s="117">
        <f>C103+D103-E103</f>
        <v>93223.679999999935</v>
      </c>
      <c r="H103" s="285"/>
      <c r="I103" s="287"/>
      <c r="J103" s="288"/>
    </row>
    <row r="104" spans="1:10" ht="11.1" customHeight="1" x14ac:dyDescent="0.3">
      <c r="A104" s="93"/>
      <c r="B104" s="94" t="s">
        <v>74</v>
      </c>
      <c r="C104" s="91">
        <f>C103+C101+C97+C93</f>
        <v>895858.3816666666</v>
      </c>
      <c r="D104" s="91">
        <f>D103+D101+D97+D93</f>
        <v>6367690.6699999999</v>
      </c>
      <c r="E104" s="91">
        <f>E103+E101+E97+E93</f>
        <v>6379311.3040666673</v>
      </c>
      <c r="F104" s="91">
        <f>F103+F101+F97+F93</f>
        <v>6761377.9800000004</v>
      </c>
      <c r="G104" s="91">
        <f>G103+G101+G97+G93</f>
        <v>884237.74759999989</v>
      </c>
      <c r="H104" s="285"/>
      <c r="I104" s="287"/>
      <c r="J104" s="288"/>
    </row>
    <row r="105" spans="1:10" ht="11.1" customHeight="1" x14ac:dyDescent="0.3">
      <c r="A105" s="150"/>
      <c r="B105" s="150"/>
      <c r="C105" s="276"/>
      <c r="D105" s="276"/>
      <c r="E105" s="276"/>
      <c r="F105" s="276"/>
      <c r="G105" s="276"/>
      <c r="H105" s="285"/>
      <c r="I105" s="287"/>
      <c r="J105" s="288"/>
    </row>
    <row r="106" spans="1:10" ht="11.1" customHeight="1" x14ac:dyDescent="0.3">
      <c r="A106" s="150"/>
      <c r="B106" s="150"/>
      <c r="C106" s="276"/>
      <c r="D106" s="276"/>
      <c r="E106" s="276"/>
      <c r="F106" s="276"/>
      <c r="G106" s="276"/>
      <c r="H106" s="285"/>
      <c r="I106" s="287"/>
      <c r="J106" s="288"/>
    </row>
    <row r="107" spans="1:10" ht="11.1" customHeight="1" x14ac:dyDescent="0.3">
      <c r="A107" s="305" t="s">
        <v>6</v>
      </c>
      <c r="B107" s="305"/>
      <c r="C107" s="305"/>
      <c r="D107" s="305"/>
      <c r="E107" s="305"/>
      <c r="F107" s="305"/>
      <c r="G107" s="305"/>
      <c r="H107" s="285"/>
      <c r="I107" s="287"/>
      <c r="J107" s="288"/>
    </row>
    <row r="108" spans="1:10" ht="11.1" customHeight="1" x14ac:dyDescent="0.3">
      <c r="A108" s="305" t="s">
        <v>35</v>
      </c>
      <c r="B108" s="305"/>
      <c r="C108" s="305"/>
      <c r="D108" s="305"/>
      <c r="E108" s="305"/>
      <c r="F108" s="305"/>
      <c r="G108" s="305"/>
      <c r="H108" s="285"/>
      <c r="I108" s="287"/>
      <c r="J108" s="288"/>
    </row>
    <row r="109" spans="1:10" ht="11.1" customHeight="1" x14ac:dyDescent="0.3">
      <c r="A109" s="311" t="s">
        <v>36</v>
      </c>
      <c r="B109" s="311"/>
      <c r="C109" s="311"/>
      <c r="D109" s="311"/>
      <c r="E109" s="311"/>
      <c r="F109" s="311"/>
      <c r="G109" s="311"/>
      <c r="H109" s="285"/>
      <c r="I109" s="287"/>
      <c r="J109" s="288"/>
    </row>
    <row r="110" spans="1:10" ht="11.1" customHeight="1" x14ac:dyDescent="0.3">
      <c r="A110" s="339" t="s">
        <v>39</v>
      </c>
      <c r="B110" s="340"/>
      <c r="C110" s="340"/>
      <c r="D110" s="340"/>
      <c r="E110" s="340"/>
      <c r="F110" s="340"/>
      <c r="G110" s="341"/>
      <c r="H110" s="285"/>
      <c r="I110" s="287"/>
      <c r="J110" s="288"/>
    </row>
    <row r="111" spans="1:10" ht="11.1" customHeight="1" x14ac:dyDescent="0.3">
      <c r="A111" s="25"/>
      <c r="B111" s="292" t="s">
        <v>3</v>
      </c>
      <c r="C111" s="293"/>
      <c r="D111" s="293"/>
      <c r="E111" s="293"/>
      <c r="F111" s="293"/>
      <c r="G111" s="294"/>
      <c r="H111" s="285"/>
      <c r="I111" s="287"/>
      <c r="J111" s="288"/>
    </row>
    <row r="112" spans="1:10" ht="11.1" customHeight="1" x14ac:dyDescent="0.3">
      <c r="A112" s="26">
        <v>1</v>
      </c>
      <c r="B112" s="295" t="s">
        <v>4</v>
      </c>
      <c r="C112" s="296"/>
      <c r="D112" s="296"/>
      <c r="E112" s="297"/>
      <c r="F112" s="298">
        <v>1981</v>
      </c>
      <c r="G112" s="299"/>
      <c r="H112" s="285"/>
      <c r="I112" s="287"/>
      <c r="J112" s="288"/>
    </row>
    <row r="113" spans="1:10" ht="11.1" customHeight="1" x14ac:dyDescent="0.3">
      <c r="A113" s="27">
        <v>2</v>
      </c>
      <c r="B113" s="300" t="s">
        <v>12</v>
      </c>
      <c r="C113" s="301"/>
      <c r="D113" s="301"/>
      <c r="E113" s="302"/>
      <c r="F113" s="303">
        <v>9</v>
      </c>
      <c r="G113" s="304"/>
      <c r="H113" s="285"/>
      <c r="I113" s="287"/>
      <c r="J113" s="288"/>
    </row>
    <row r="114" spans="1:10" ht="11.1" customHeight="1" x14ac:dyDescent="0.3">
      <c r="A114" s="27">
        <v>3</v>
      </c>
      <c r="B114" s="300" t="s">
        <v>14</v>
      </c>
      <c r="C114" s="301"/>
      <c r="D114" s="301"/>
      <c r="E114" s="302"/>
      <c r="F114" s="303">
        <v>3</v>
      </c>
      <c r="G114" s="304"/>
      <c r="H114" s="285"/>
      <c r="I114" s="287"/>
      <c r="J114" s="288"/>
    </row>
    <row r="115" spans="1:10" ht="11.1" customHeight="1" x14ac:dyDescent="0.3">
      <c r="A115" s="27">
        <v>4</v>
      </c>
      <c r="B115" s="300" t="s">
        <v>13</v>
      </c>
      <c r="C115" s="301"/>
      <c r="D115" s="301"/>
      <c r="E115" s="302"/>
      <c r="F115" s="303">
        <v>108</v>
      </c>
      <c r="G115" s="304"/>
      <c r="H115" s="285"/>
      <c r="I115" s="287"/>
      <c r="J115" s="288"/>
    </row>
    <row r="116" spans="1:10" ht="11.1" customHeight="1" x14ac:dyDescent="0.3">
      <c r="A116" s="27">
        <v>5</v>
      </c>
      <c r="B116" s="300" t="s">
        <v>128</v>
      </c>
      <c r="C116" s="301"/>
      <c r="D116" s="301"/>
      <c r="E116" s="302"/>
      <c r="F116" s="303">
        <v>924.3</v>
      </c>
      <c r="G116" s="304"/>
      <c r="H116" s="285"/>
      <c r="I116" s="287"/>
      <c r="J116" s="288"/>
    </row>
    <row r="117" spans="1:10" ht="11.1" customHeight="1" x14ac:dyDescent="0.3">
      <c r="A117" s="27">
        <v>6</v>
      </c>
      <c r="B117" s="300" t="s">
        <v>129</v>
      </c>
      <c r="C117" s="301"/>
      <c r="D117" s="301"/>
      <c r="E117" s="302"/>
      <c r="F117" s="303">
        <v>5236.83</v>
      </c>
      <c r="G117" s="304"/>
      <c r="H117" s="285"/>
      <c r="I117" s="287"/>
      <c r="J117" s="288"/>
    </row>
    <row r="118" spans="1:10" ht="11.1" customHeight="1" x14ac:dyDescent="0.3">
      <c r="A118" s="27">
        <v>7</v>
      </c>
      <c r="B118" s="300" t="s">
        <v>130</v>
      </c>
      <c r="C118" s="301"/>
      <c r="D118" s="301"/>
      <c r="E118" s="302"/>
      <c r="F118" s="303">
        <v>563.4</v>
      </c>
      <c r="G118" s="304"/>
      <c r="H118" s="285"/>
      <c r="I118" s="287"/>
      <c r="J118" s="288"/>
    </row>
    <row r="119" spans="1:10" ht="11.1" customHeight="1" x14ac:dyDescent="0.3">
      <c r="A119" s="342"/>
      <c r="B119" s="343"/>
      <c r="C119" s="343"/>
      <c r="D119" s="343"/>
      <c r="E119" s="343"/>
      <c r="F119" s="343"/>
      <c r="G119" s="344"/>
      <c r="H119" s="285"/>
      <c r="I119" s="287"/>
      <c r="J119" s="288"/>
    </row>
    <row r="120" spans="1:10" ht="11.1" customHeight="1" x14ac:dyDescent="0.3">
      <c r="A120" s="315" t="s">
        <v>99</v>
      </c>
      <c r="B120" s="316"/>
      <c r="C120" s="316"/>
      <c r="D120" s="316"/>
      <c r="E120" s="316"/>
      <c r="F120" s="316"/>
      <c r="G120" s="317"/>
      <c r="H120" s="285"/>
      <c r="I120" s="287"/>
      <c r="J120" s="288"/>
    </row>
    <row r="121" spans="1:10" ht="11.1" customHeight="1" x14ac:dyDescent="0.3">
      <c r="A121" s="29"/>
      <c r="B121" s="30"/>
      <c r="C121" s="29" t="s">
        <v>19</v>
      </c>
      <c r="D121" s="29"/>
      <c r="E121" s="29"/>
      <c r="F121" s="31"/>
      <c r="G121" s="29" t="s">
        <v>19</v>
      </c>
      <c r="H121" s="285"/>
      <c r="I121" s="287"/>
      <c r="J121" s="288"/>
    </row>
    <row r="122" spans="1:10" ht="11.1" customHeight="1" x14ac:dyDescent="0.3">
      <c r="A122" s="24"/>
      <c r="B122" s="2" t="s">
        <v>1</v>
      </c>
      <c r="C122" s="24" t="s">
        <v>28</v>
      </c>
      <c r="D122" s="24" t="s">
        <v>2</v>
      </c>
      <c r="E122" s="24" t="s">
        <v>16</v>
      </c>
      <c r="F122" s="32" t="s">
        <v>27</v>
      </c>
      <c r="G122" s="24" t="s">
        <v>28</v>
      </c>
      <c r="H122" s="285"/>
      <c r="I122" s="287"/>
      <c r="J122" s="288"/>
    </row>
    <row r="123" spans="1:10" ht="11.1" customHeight="1" x14ac:dyDescent="0.3">
      <c r="A123" s="33"/>
      <c r="B123" s="129"/>
      <c r="C123" s="33" t="s">
        <v>24</v>
      </c>
      <c r="D123" s="33"/>
      <c r="E123" s="34"/>
      <c r="F123" s="35"/>
      <c r="G123" s="33" t="s">
        <v>30</v>
      </c>
      <c r="H123" s="285"/>
      <c r="I123" s="287"/>
      <c r="J123" s="288"/>
    </row>
    <row r="124" spans="1:10" ht="11.1" customHeight="1" x14ac:dyDescent="0.3">
      <c r="A124" s="37" t="s">
        <v>20</v>
      </c>
      <c r="B124" s="131" t="s">
        <v>33</v>
      </c>
      <c r="C124" s="60"/>
      <c r="D124" s="60"/>
      <c r="E124" s="61"/>
      <c r="F124" s="61"/>
      <c r="G124" s="61"/>
      <c r="H124" s="285"/>
      <c r="I124" s="287"/>
      <c r="J124" s="288"/>
    </row>
    <row r="125" spans="1:10" ht="11.1" customHeight="1" x14ac:dyDescent="0.3">
      <c r="A125" s="101"/>
      <c r="B125" s="132" t="s">
        <v>7</v>
      </c>
      <c r="C125" s="62">
        <v>233665.33</v>
      </c>
      <c r="D125" s="62">
        <v>896911.86</v>
      </c>
      <c r="E125" s="62">
        <f>C125+D125-G125</f>
        <v>878024.46</v>
      </c>
      <c r="F125" s="62"/>
      <c r="G125" s="62">
        <f>277301.38-24748.65</f>
        <v>252552.73</v>
      </c>
      <c r="H125" s="285"/>
      <c r="I125" s="287"/>
      <c r="J125" s="288"/>
    </row>
    <row r="126" spans="1:10" ht="11.1" customHeight="1" x14ac:dyDescent="0.3">
      <c r="A126" s="101"/>
      <c r="B126" s="132" t="s">
        <v>8</v>
      </c>
      <c r="C126" s="86">
        <f>D126/12</f>
        <v>7192.6966666666667</v>
      </c>
      <c r="D126" s="62">
        <v>86312.36</v>
      </c>
      <c r="E126" s="62">
        <f>C126+D126-G126</f>
        <v>84873.820666666667</v>
      </c>
      <c r="F126" s="62"/>
      <c r="G126" s="62">
        <f>D126*10%</f>
        <v>8631.2360000000008</v>
      </c>
      <c r="H126" s="285"/>
      <c r="I126" s="287"/>
      <c r="J126" s="288"/>
    </row>
    <row r="127" spans="1:10" ht="11.1" customHeight="1" x14ac:dyDescent="0.3">
      <c r="A127" s="101"/>
      <c r="B127" s="132" t="s">
        <v>17</v>
      </c>
      <c r="C127" s="68">
        <f>D127/12</f>
        <v>1420</v>
      </c>
      <c r="D127" s="62">
        <v>17040</v>
      </c>
      <c r="E127" s="158">
        <f>C127+D127-G127</f>
        <v>16756</v>
      </c>
      <c r="F127" s="62"/>
      <c r="G127" s="62">
        <f>D127*10%</f>
        <v>1704</v>
      </c>
      <c r="H127" s="285"/>
      <c r="I127" s="287"/>
      <c r="J127" s="288"/>
    </row>
    <row r="128" spans="1:10" ht="11.1" customHeight="1" x14ac:dyDescent="0.3">
      <c r="A128" s="101"/>
      <c r="B128" s="135" t="s">
        <v>23</v>
      </c>
      <c r="C128" s="63">
        <f>SUM(C125:C127)</f>
        <v>242278.02666666664</v>
      </c>
      <c r="D128" s="63">
        <f>SUM(D125:D127)</f>
        <v>1000264.22</v>
      </c>
      <c r="E128" s="63">
        <f>SUM(E125:E127)</f>
        <v>979654.28066666657</v>
      </c>
      <c r="F128" s="63">
        <f>D128-694.93</f>
        <v>999569.28999999992</v>
      </c>
      <c r="G128" s="63">
        <f>SUM(G125:G127)</f>
        <v>262887.96600000001</v>
      </c>
      <c r="H128" s="285"/>
      <c r="I128" s="287"/>
      <c r="J128" s="288"/>
    </row>
    <row r="129" spans="1:10" ht="11.1" customHeight="1" x14ac:dyDescent="0.3">
      <c r="A129" s="101"/>
      <c r="B129" s="135"/>
      <c r="C129" s="68"/>
      <c r="D129" s="62"/>
      <c r="E129" s="62"/>
      <c r="F129" s="62"/>
      <c r="G129" s="62"/>
      <c r="H129" s="285"/>
      <c r="I129" s="287"/>
      <c r="J129" s="288"/>
    </row>
    <row r="130" spans="1:10" ht="11.1" customHeight="1" x14ac:dyDescent="0.3">
      <c r="A130" s="39">
        <v>2</v>
      </c>
      <c r="B130" s="152" t="s">
        <v>34</v>
      </c>
      <c r="C130" s="62">
        <v>0</v>
      </c>
      <c r="D130" s="62">
        <v>193710</v>
      </c>
      <c r="E130" s="62">
        <f>D130-G130</f>
        <v>156451.03</v>
      </c>
      <c r="F130" s="62">
        <f>D130</f>
        <v>193710</v>
      </c>
      <c r="G130" s="62">
        <f>24748.65+12025.65+484.67</f>
        <v>37258.97</v>
      </c>
      <c r="H130" s="285"/>
      <c r="I130" s="287"/>
      <c r="J130" s="288"/>
    </row>
    <row r="131" spans="1:10" ht="11.1" customHeight="1" x14ac:dyDescent="0.3">
      <c r="A131" s="40"/>
      <c r="B131" s="40"/>
      <c r="C131" s="64"/>
      <c r="D131" s="64"/>
      <c r="E131" s="64"/>
      <c r="F131" s="64"/>
      <c r="G131" s="64"/>
      <c r="H131" s="285"/>
      <c r="I131" s="287"/>
      <c r="J131" s="288"/>
    </row>
    <row r="132" spans="1:10" ht="11.1" customHeight="1" x14ac:dyDescent="0.3">
      <c r="A132" s="39" t="s">
        <v>22</v>
      </c>
      <c r="B132" s="137" t="s">
        <v>100</v>
      </c>
      <c r="C132" s="62">
        <f>101043.43-0</f>
        <v>101043.43</v>
      </c>
      <c r="D132" s="62">
        <v>363697.89</v>
      </c>
      <c r="E132" s="62">
        <f>C132+D132-G132</f>
        <v>359978.03</v>
      </c>
      <c r="F132" s="154"/>
      <c r="G132" s="62">
        <f>117273.61-12025.65-484.67</f>
        <v>104763.29000000001</v>
      </c>
      <c r="H132" s="285"/>
      <c r="I132" s="287"/>
      <c r="J132" s="288"/>
    </row>
    <row r="133" spans="1:10" ht="11.1" customHeight="1" x14ac:dyDescent="0.3">
      <c r="A133" s="39"/>
      <c r="B133" s="138" t="s">
        <v>37</v>
      </c>
      <c r="C133" s="62">
        <f>D133/11</f>
        <v>4199.1863636363641</v>
      </c>
      <c r="D133" s="62">
        <v>46191.05</v>
      </c>
      <c r="E133" s="62">
        <f>C133+D133-G133</f>
        <v>44847.310363636367</v>
      </c>
      <c r="F133" s="155"/>
      <c r="G133" s="62">
        <f>D133*12%</f>
        <v>5542.9260000000004</v>
      </c>
      <c r="H133" s="285"/>
      <c r="I133" s="287"/>
      <c r="J133" s="288"/>
    </row>
    <row r="134" spans="1:10" ht="11.1" customHeight="1" x14ac:dyDescent="0.3">
      <c r="A134" s="41"/>
      <c r="B134" s="159" t="s">
        <v>23</v>
      </c>
      <c r="C134" s="117">
        <f>SUM(C132:C133)</f>
        <v>105242.61636363636</v>
      </c>
      <c r="D134" s="66">
        <f>SUM(D132:D133)</f>
        <v>409888.94</v>
      </c>
      <c r="E134" s="66">
        <f>SUM(E132:E133)</f>
        <v>404825.34036363638</v>
      </c>
      <c r="F134" s="67">
        <v>472680.94</v>
      </c>
      <c r="G134" s="117">
        <f>SUM(G132:G133)</f>
        <v>110306.21600000001</v>
      </c>
      <c r="H134" s="285"/>
      <c r="I134" s="287"/>
      <c r="J134" s="288"/>
    </row>
    <row r="135" spans="1:10" ht="11.1" customHeight="1" x14ac:dyDescent="0.3">
      <c r="A135" s="81"/>
      <c r="B135" s="82" t="s">
        <v>74</v>
      </c>
      <c r="C135" s="90">
        <f>C134+C130+C128</f>
        <v>347520.64303030301</v>
      </c>
      <c r="D135" s="90">
        <f>D134+D130+D128</f>
        <v>1603863.16</v>
      </c>
      <c r="E135" s="90">
        <f>E134+E130+E128</f>
        <v>1540930.651030303</v>
      </c>
      <c r="F135" s="90">
        <f>F134+F130+F128</f>
        <v>1665960.23</v>
      </c>
      <c r="G135" s="90">
        <f>G134+G130+G128</f>
        <v>410453.152</v>
      </c>
      <c r="H135" s="285"/>
      <c r="I135" s="287"/>
      <c r="J135" s="288"/>
    </row>
    <row r="136" spans="1:10" ht="11.1" customHeight="1" x14ac:dyDescent="0.3">
      <c r="A136" s="130"/>
      <c r="B136" s="36"/>
      <c r="C136" s="30"/>
      <c r="D136" s="36"/>
      <c r="E136" s="36"/>
      <c r="F136" s="36"/>
      <c r="G136" s="44"/>
      <c r="H136" s="285"/>
      <c r="I136" s="287"/>
      <c r="J136" s="288"/>
    </row>
    <row r="137" spans="1:10" ht="11.1" customHeight="1" x14ac:dyDescent="0.3">
      <c r="A137" s="318" t="s">
        <v>18</v>
      </c>
      <c r="B137" s="319"/>
      <c r="C137" s="319"/>
      <c r="D137" s="319"/>
      <c r="E137" s="319"/>
      <c r="F137" s="319"/>
      <c r="G137" s="45"/>
      <c r="H137" s="285"/>
      <c r="I137" s="287"/>
      <c r="J137" s="288"/>
    </row>
    <row r="138" spans="1:10" ht="11.1" customHeight="1" x14ac:dyDescent="0.3">
      <c r="A138" s="1"/>
      <c r="B138" s="2"/>
      <c r="C138" s="29" t="s">
        <v>19</v>
      </c>
      <c r="D138" s="29"/>
      <c r="E138" s="29"/>
      <c r="F138" s="31"/>
      <c r="G138" s="29" t="s">
        <v>19</v>
      </c>
      <c r="H138" s="285"/>
      <c r="I138" s="287"/>
      <c r="J138" s="288"/>
    </row>
    <row r="139" spans="1:10" ht="11.1" customHeight="1" x14ac:dyDescent="0.3">
      <c r="A139" s="1" t="s">
        <v>15</v>
      </c>
      <c r="B139" s="2" t="s">
        <v>1</v>
      </c>
      <c r="C139" s="24" t="s">
        <v>28</v>
      </c>
      <c r="D139" s="24" t="s">
        <v>2</v>
      </c>
      <c r="E139" s="24" t="s">
        <v>16</v>
      </c>
      <c r="F139" s="32" t="s">
        <v>27</v>
      </c>
      <c r="G139" s="24" t="s">
        <v>28</v>
      </c>
      <c r="H139" s="285"/>
      <c r="I139" s="287"/>
      <c r="J139" s="288"/>
    </row>
    <row r="140" spans="1:10" ht="11.1" customHeight="1" x14ac:dyDescent="0.3">
      <c r="A140" s="1" t="s">
        <v>0</v>
      </c>
      <c r="B140" s="2"/>
      <c r="C140" s="33" t="s">
        <v>24</v>
      </c>
      <c r="D140" s="33"/>
      <c r="E140" s="34"/>
      <c r="F140" s="35"/>
      <c r="G140" s="33" t="s">
        <v>30</v>
      </c>
      <c r="H140" s="285"/>
      <c r="I140" s="287"/>
      <c r="J140" s="288"/>
    </row>
    <row r="141" spans="1:10" ht="11.1" customHeight="1" x14ac:dyDescent="0.3">
      <c r="A141" s="47" t="s">
        <v>20</v>
      </c>
      <c r="B141" s="160" t="s">
        <v>21</v>
      </c>
      <c r="C141" s="161"/>
      <c r="D141" s="161"/>
      <c r="E141" s="161"/>
      <c r="F141" s="161"/>
      <c r="G141" s="161"/>
      <c r="H141" s="285"/>
      <c r="I141" s="287"/>
      <c r="J141" s="288"/>
    </row>
    <row r="142" spans="1:10" ht="11.1" customHeight="1" x14ac:dyDescent="0.3">
      <c r="A142" s="48"/>
      <c r="B142" s="162" t="s">
        <v>104</v>
      </c>
      <c r="C142" s="57">
        <v>350954.37</v>
      </c>
      <c r="D142" s="71">
        <v>1687637.04</v>
      </c>
      <c r="E142" s="71">
        <f>C142+D142-G142</f>
        <v>1534214.79</v>
      </c>
      <c r="F142" s="149"/>
      <c r="G142" s="57">
        <v>504376.62</v>
      </c>
      <c r="H142" s="285"/>
      <c r="I142" s="287"/>
      <c r="J142" s="288"/>
    </row>
    <row r="143" spans="1:10" ht="11.1" customHeight="1" x14ac:dyDescent="0.3">
      <c r="A143" s="39"/>
      <c r="B143" s="163" t="s">
        <v>117</v>
      </c>
      <c r="C143" s="57">
        <f>D143/12</f>
        <v>15143.891666666668</v>
      </c>
      <c r="D143" s="71">
        <v>181726.7</v>
      </c>
      <c r="E143" s="71">
        <f>C143+D143-G143</f>
        <v>178697.92166666666</v>
      </c>
      <c r="F143" s="113"/>
      <c r="G143" s="57">
        <f>D143*10%</f>
        <v>18172.670000000002</v>
      </c>
      <c r="H143" s="285"/>
      <c r="I143" s="287"/>
      <c r="J143" s="288"/>
    </row>
    <row r="144" spans="1:10" ht="11.1" customHeight="1" x14ac:dyDescent="0.3">
      <c r="A144" s="39"/>
      <c r="B144" s="163"/>
      <c r="C144" s="104">
        <f>SUM(C142:C143)</f>
        <v>366098.26166666666</v>
      </c>
      <c r="D144" s="104">
        <f>SUM(D142:D143)</f>
        <v>1869363.74</v>
      </c>
      <c r="E144" s="104">
        <f>SUM(E142:E143)</f>
        <v>1712912.7116666667</v>
      </c>
      <c r="F144" s="120">
        <f>1739981.02+142832.09</f>
        <v>1882813.11</v>
      </c>
      <c r="G144" s="104">
        <f>SUM(G142:G143)</f>
        <v>522549.29</v>
      </c>
      <c r="H144" s="285"/>
      <c r="I144" s="287"/>
      <c r="J144" s="288"/>
    </row>
    <row r="145" spans="1:10" ht="11.1" customHeight="1" x14ac:dyDescent="0.3">
      <c r="A145" s="39"/>
      <c r="B145" s="163"/>
      <c r="C145" s="57"/>
      <c r="D145" s="71"/>
      <c r="E145" s="71"/>
      <c r="F145" s="164"/>
      <c r="G145" s="57"/>
      <c r="H145" s="285"/>
      <c r="I145" s="287"/>
      <c r="J145" s="288"/>
    </row>
    <row r="146" spans="1:10" ht="11.1" customHeight="1" x14ac:dyDescent="0.3">
      <c r="A146" s="49"/>
      <c r="B146" s="162" t="s">
        <v>107</v>
      </c>
      <c r="C146" s="71">
        <f>241457.94+12962.95+11338.82</f>
        <v>265759.71000000002</v>
      </c>
      <c r="D146" s="71">
        <v>813488.62</v>
      </c>
      <c r="E146" s="71">
        <f>C146+D146-G146</f>
        <v>749732.69000000018</v>
      </c>
      <c r="F146" s="165"/>
      <c r="G146" s="71">
        <f>301397.61+16950.61+11167.42</f>
        <v>329515.63999999996</v>
      </c>
      <c r="H146" s="285"/>
      <c r="I146" s="287"/>
      <c r="J146" s="288"/>
    </row>
    <row r="147" spans="1:10" ht="11.1" customHeight="1" x14ac:dyDescent="0.3">
      <c r="A147" s="49"/>
      <c r="B147" s="163" t="s">
        <v>117</v>
      </c>
      <c r="C147" s="71">
        <f>D147/12</f>
        <v>6351.7333333333336</v>
      </c>
      <c r="D147" s="71">
        <v>76220.800000000003</v>
      </c>
      <c r="E147" s="71">
        <f>C147+D147-G147</f>
        <v>74950.453333333338</v>
      </c>
      <c r="F147" s="166"/>
      <c r="G147" s="71">
        <f>D147*10%</f>
        <v>7622.0800000000008</v>
      </c>
      <c r="H147" s="285"/>
      <c r="I147" s="287"/>
      <c r="J147" s="288"/>
    </row>
    <row r="148" spans="1:10" ht="11.1" customHeight="1" x14ac:dyDescent="0.3">
      <c r="A148" s="49"/>
      <c r="B148" s="167" t="s">
        <v>23</v>
      </c>
      <c r="C148" s="164">
        <f>SUM(C146:C147)</f>
        <v>272111.44333333336</v>
      </c>
      <c r="D148" s="164">
        <f>SUM(D146:D147)</f>
        <v>889709.42</v>
      </c>
      <c r="E148" s="164">
        <f>SUM(E146:E147)</f>
        <v>824683.14333333354</v>
      </c>
      <c r="F148" s="120">
        <f>D146+D147</f>
        <v>889709.42</v>
      </c>
      <c r="G148" s="164">
        <f>SUM(G146:G147)</f>
        <v>337137.72</v>
      </c>
      <c r="H148" s="285"/>
      <c r="I148" s="287"/>
      <c r="J148" s="288"/>
    </row>
    <row r="149" spans="1:10" ht="11.1" customHeight="1" x14ac:dyDescent="0.3">
      <c r="A149" s="101" t="s">
        <v>26</v>
      </c>
      <c r="B149" s="168" t="s">
        <v>29</v>
      </c>
      <c r="C149" s="71"/>
      <c r="D149" s="71"/>
      <c r="E149" s="71"/>
      <c r="F149" s="71"/>
      <c r="G149" s="71"/>
      <c r="H149" s="285"/>
      <c r="I149" s="287"/>
      <c r="J149" s="288"/>
    </row>
    <row r="150" spans="1:10" ht="11.1" customHeight="1" x14ac:dyDescent="0.3">
      <c r="A150" s="101"/>
      <c r="B150" s="162" t="s">
        <v>31</v>
      </c>
      <c r="C150" s="57">
        <f>115189.14+93643.61</f>
        <v>208832.75</v>
      </c>
      <c r="D150" s="71">
        <f>254545.35+246146.13</f>
        <v>500691.48</v>
      </c>
      <c r="E150" s="71">
        <f>C150+D150-G150</f>
        <v>462618.04</v>
      </c>
      <c r="F150" s="71"/>
      <c r="G150" s="71">
        <f>134200.56+112705.63</f>
        <v>246906.19</v>
      </c>
      <c r="H150" s="285"/>
      <c r="I150" s="287"/>
      <c r="J150" s="288"/>
    </row>
    <row r="151" spans="1:10" ht="11.1" customHeight="1" x14ac:dyDescent="0.3">
      <c r="A151" s="39"/>
      <c r="B151" s="162" t="s">
        <v>32</v>
      </c>
      <c r="C151" s="57">
        <f>D151/12</f>
        <v>6858.6864999999998</v>
      </c>
      <c r="D151" s="71">
        <v>82304.237999999998</v>
      </c>
      <c r="E151" s="71">
        <f>C151+D151-G151</f>
        <v>80932.50069999999</v>
      </c>
      <c r="F151" s="71"/>
      <c r="G151" s="71">
        <f>D151*10%</f>
        <v>8230.4238000000005</v>
      </c>
      <c r="H151" s="285"/>
      <c r="I151" s="287"/>
      <c r="J151" s="288"/>
    </row>
    <row r="152" spans="1:10" ht="11.1" customHeight="1" x14ac:dyDescent="0.3">
      <c r="A152" s="39"/>
      <c r="B152" s="169" t="s">
        <v>23</v>
      </c>
      <c r="C152" s="104">
        <f>SUM(C150:C151)</f>
        <v>215691.43650000001</v>
      </c>
      <c r="D152" s="164">
        <f>SUM(D150:D151)</f>
        <v>582995.71799999999</v>
      </c>
      <c r="E152" s="164">
        <f>SUM(E150:E151)</f>
        <v>543550.54070000001</v>
      </c>
      <c r="F152" s="164">
        <f>D152</f>
        <v>582995.71799999999</v>
      </c>
      <c r="G152" s="164">
        <f>SUM(G150:G151)</f>
        <v>255136.61379999999</v>
      </c>
      <c r="H152" s="285"/>
      <c r="I152" s="287"/>
      <c r="J152" s="288"/>
    </row>
    <row r="153" spans="1:10" ht="11.1" customHeight="1" x14ac:dyDescent="0.3">
      <c r="A153" s="170"/>
      <c r="B153" s="171"/>
      <c r="C153" s="71"/>
      <c r="D153" s="172"/>
      <c r="E153" s="71"/>
      <c r="F153" s="71"/>
      <c r="G153" s="71"/>
      <c r="H153" s="285"/>
      <c r="I153" s="287"/>
      <c r="J153" s="288"/>
    </row>
    <row r="154" spans="1:10" ht="11.1" customHeight="1" x14ac:dyDescent="0.3">
      <c r="A154" s="102" t="s">
        <v>22</v>
      </c>
      <c r="B154" s="173" t="s">
        <v>121</v>
      </c>
      <c r="C154" s="56">
        <v>22907.86</v>
      </c>
      <c r="D154" s="280">
        <v>142396.76999999999</v>
      </c>
      <c r="E154" s="56">
        <f>C154+D154-G154</f>
        <v>134721.96000000002</v>
      </c>
      <c r="F154" s="56"/>
      <c r="G154" s="56">
        <v>30582.67</v>
      </c>
      <c r="H154" s="285"/>
      <c r="I154" s="287"/>
      <c r="J154" s="288"/>
    </row>
    <row r="155" spans="1:10" ht="11.1" customHeight="1" x14ac:dyDescent="0.3">
      <c r="A155" s="4"/>
      <c r="B155" s="279" t="s">
        <v>117</v>
      </c>
      <c r="C155" s="84">
        <f>D155/12</f>
        <v>1278.45</v>
      </c>
      <c r="D155" s="281">
        <v>15341.4</v>
      </c>
      <c r="E155" s="84">
        <f>C155+D155-G155</f>
        <v>15085.71</v>
      </c>
      <c r="F155" s="84"/>
      <c r="G155" s="84">
        <f>D155*10%</f>
        <v>1534.14</v>
      </c>
      <c r="H155" s="285"/>
      <c r="I155" s="287"/>
      <c r="J155" s="288"/>
    </row>
    <row r="156" spans="1:10" ht="11.1" customHeight="1" x14ac:dyDescent="0.3">
      <c r="A156" s="4"/>
      <c r="B156" s="135" t="s">
        <v>23</v>
      </c>
      <c r="C156" s="122">
        <f>SUM(C154:C155)</f>
        <v>24186.31</v>
      </c>
      <c r="D156" s="122">
        <f t="shared" ref="D156:G156" si="5">SUM(D154:D155)</f>
        <v>157738.16999999998</v>
      </c>
      <c r="E156" s="122">
        <f t="shared" si="5"/>
        <v>149807.67000000001</v>
      </c>
      <c r="F156" s="122">
        <f>D156</f>
        <v>157738.16999999998</v>
      </c>
      <c r="G156" s="122">
        <f t="shared" si="5"/>
        <v>32116.809999999998</v>
      </c>
      <c r="H156" s="285"/>
      <c r="I156" s="287"/>
      <c r="J156" s="288"/>
    </row>
    <row r="157" spans="1:10" ht="11.1" customHeight="1" x14ac:dyDescent="0.3">
      <c r="A157" s="81"/>
      <c r="B157" s="82" t="s">
        <v>74</v>
      </c>
      <c r="C157" s="90">
        <f>C156+C152+C148+C144</f>
        <v>878087.45149999997</v>
      </c>
      <c r="D157" s="90">
        <f t="shared" ref="D157:G157" si="6">D156+D152+D148+D144</f>
        <v>3499807.0480000004</v>
      </c>
      <c r="E157" s="90">
        <f t="shared" si="6"/>
        <v>3230954.0657000002</v>
      </c>
      <c r="F157" s="90">
        <f t="shared" si="6"/>
        <v>3513256.4180000005</v>
      </c>
      <c r="G157" s="90">
        <f t="shared" si="6"/>
        <v>1146940.4338</v>
      </c>
      <c r="H157" s="285"/>
      <c r="I157" s="287"/>
      <c r="J157" s="288"/>
    </row>
    <row r="158" spans="1:10" ht="11.1" customHeight="1" x14ac:dyDescent="0.3">
      <c r="A158" s="289"/>
      <c r="B158" s="290"/>
      <c r="C158" s="291"/>
      <c r="D158" s="291"/>
      <c r="E158" s="291"/>
      <c r="F158" s="291"/>
      <c r="G158" s="291"/>
      <c r="H158" s="285"/>
      <c r="I158" s="287"/>
      <c r="J158" s="288"/>
    </row>
    <row r="159" spans="1:10" ht="11.1" customHeight="1" x14ac:dyDescent="0.3">
      <c r="A159" s="150"/>
      <c r="B159" s="150"/>
      <c r="C159" s="150"/>
      <c r="D159" s="150"/>
      <c r="E159" s="150"/>
      <c r="F159" s="150"/>
      <c r="G159" s="150"/>
      <c r="H159" s="285"/>
      <c r="I159" s="287"/>
      <c r="J159" s="288"/>
    </row>
    <row r="160" spans="1:10" ht="11.1" customHeight="1" x14ac:dyDescent="0.3">
      <c r="A160" s="305" t="s">
        <v>6</v>
      </c>
      <c r="B160" s="305"/>
      <c r="C160" s="305"/>
      <c r="D160" s="305"/>
      <c r="E160" s="305"/>
      <c r="F160" s="305"/>
      <c r="G160" s="305"/>
      <c r="H160" s="285"/>
      <c r="I160" s="287"/>
      <c r="J160" s="288"/>
    </row>
    <row r="161" spans="1:10" ht="11.1" customHeight="1" x14ac:dyDescent="0.3">
      <c r="A161" s="305" t="s">
        <v>35</v>
      </c>
      <c r="B161" s="305"/>
      <c r="C161" s="305"/>
      <c r="D161" s="305"/>
      <c r="E161" s="305"/>
      <c r="F161" s="305"/>
      <c r="G161" s="305"/>
      <c r="H161" s="285"/>
      <c r="I161" s="287"/>
      <c r="J161" s="288"/>
    </row>
    <row r="162" spans="1:10" ht="11.1" customHeight="1" x14ac:dyDescent="0.3">
      <c r="A162" s="311" t="s">
        <v>36</v>
      </c>
      <c r="B162" s="311"/>
      <c r="C162" s="311"/>
      <c r="D162" s="311"/>
      <c r="E162" s="311"/>
      <c r="F162" s="311"/>
      <c r="G162" s="311"/>
      <c r="H162" s="285"/>
      <c r="I162" s="287"/>
      <c r="J162" s="288"/>
    </row>
    <row r="163" spans="1:10" ht="11.1" customHeight="1" x14ac:dyDescent="0.3">
      <c r="A163" s="339" t="s">
        <v>40</v>
      </c>
      <c r="B163" s="340"/>
      <c r="C163" s="340"/>
      <c r="D163" s="340"/>
      <c r="E163" s="340"/>
      <c r="F163" s="340"/>
      <c r="G163" s="341"/>
      <c r="H163" s="285"/>
      <c r="I163" s="287"/>
      <c r="J163" s="288"/>
    </row>
    <row r="164" spans="1:10" ht="11.1" customHeight="1" x14ac:dyDescent="0.3">
      <c r="A164" s="25"/>
      <c r="B164" s="292" t="s">
        <v>3</v>
      </c>
      <c r="C164" s="293"/>
      <c r="D164" s="293"/>
      <c r="E164" s="293"/>
      <c r="F164" s="293"/>
      <c r="G164" s="294"/>
      <c r="H164" s="285"/>
      <c r="I164" s="287"/>
      <c r="J164" s="288"/>
    </row>
    <row r="165" spans="1:10" ht="11.1" customHeight="1" x14ac:dyDescent="0.3">
      <c r="A165" s="26">
        <v>1</v>
      </c>
      <c r="B165" s="295" t="s">
        <v>4</v>
      </c>
      <c r="C165" s="296"/>
      <c r="D165" s="296"/>
      <c r="E165" s="297"/>
      <c r="F165" s="298">
        <v>1981</v>
      </c>
      <c r="G165" s="299"/>
      <c r="H165" s="285"/>
      <c r="I165" s="287"/>
      <c r="J165" s="288"/>
    </row>
    <row r="166" spans="1:10" ht="11.1" customHeight="1" x14ac:dyDescent="0.3">
      <c r="A166" s="27">
        <v>2</v>
      </c>
      <c r="B166" s="300" t="s">
        <v>12</v>
      </c>
      <c r="C166" s="301"/>
      <c r="D166" s="301"/>
      <c r="E166" s="302"/>
      <c r="F166" s="303">
        <v>9</v>
      </c>
      <c r="G166" s="304"/>
      <c r="H166" s="285"/>
      <c r="I166" s="287"/>
      <c r="J166" s="288"/>
    </row>
    <row r="167" spans="1:10" ht="11.1" customHeight="1" x14ac:dyDescent="0.3">
      <c r="A167" s="27">
        <v>3</v>
      </c>
      <c r="B167" s="300" t="s">
        <v>14</v>
      </c>
      <c r="C167" s="301"/>
      <c r="D167" s="301"/>
      <c r="E167" s="302"/>
      <c r="F167" s="303">
        <v>2</v>
      </c>
      <c r="G167" s="304"/>
      <c r="H167" s="285"/>
      <c r="I167" s="287"/>
      <c r="J167" s="288"/>
    </row>
    <row r="168" spans="1:10" ht="11.1" customHeight="1" x14ac:dyDescent="0.3">
      <c r="A168" s="27">
        <v>4</v>
      </c>
      <c r="B168" s="300" t="s">
        <v>13</v>
      </c>
      <c r="C168" s="301"/>
      <c r="D168" s="301"/>
      <c r="E168" s="302"/>
      <c r="F168" s="303">
        <v>72</v>
      </c>
      <c r="G168" s="304"/>
      <c r="H168" s="285"/>
      <c r="I168" s="287"/>
      <c r="J168" s="288"/>
    </row>
    <row r="169" spans="1:10" ht="11.1" customHeight="1" x14ac:dyDescent="0.3">
      <c r="A169" s="27">
        <v>5</v>
      </c>
      <c r="B169" s="300" t="s">
        <v>10</v>
      </c>
      <c r="C169" s="301"/>
      <c r="D169" s="301"/>
      <c r="E169" s="302"/>
      <c r="F169" s="335">
        <v>612</v>
      </c>
      <c r="G169" s="336"/>
      <c r="H169" s="285"/>
      <c r="I169" s="287"/>
      <c r="J169" s="288"/>
    </row>
    <row r="170" spans="1:10" ht="11.1" customHeight="1" x14ac:dyDescent="0.3">
      <c r="A170" s="27">
        <v>6</v>
      </c>
      <c r="B170" s="300" t="s">
        <v>11</v>
      </c>
      <c r="C170" s="301"/>
      <c r="D170" s="301"/>
      <c r="E170" s="302"/>
      <c r="F170" s="303">
        <v>3857.42</v>
      </c>
      <c r="G170" s="304"/>
      <c r="H170" s="285"/>
      <c r="I170" s="287"/>
      <c r="J170" s="288"/>
    </row>
    <row r="171" spans="1:10" ht="11.1" customHeight="1" x14ac:dyDescent="0.3">
      <c r="A171" s="28">
        <v>7</v>
      </c>
      <c r="B171" s="306" t="s">
        <v>9</v>
      </c>
      <c r="C171" s="307"/>
      <c r="D171" s="307"/>
      <c r="E171" s="308"/>
      <c r="F171" s="309">
        <v>0</v>
      </c>
      <c r="G171" s="310"/>
      <c r="H171" s="285"/>
      <c r="I171" s="287"/>
      <c r="J171" s="288"/>
    </row>
    <row r="172" spans="1:10" ht="11.1" customHeight="1" x14ac:dyDescent="0.3">
      <c r="A172" s="255"/>
      <c r="B172" s="251"/>
      <c r="C172" s="251"/>
      <c r="D172" s="251"/>
      <c r="E172" s="251"/>
      <c r="F172" s="257"/>
      <c r="G172" s="258"/>
      <c r="H172" s="285"/>
      <c r="I172" s="287"/>
      <c r="J172" s="288"/>
    </row>
    <row r="173" spans="1:10" ht="11.1" customHeight="1" x14ac:dyDescent="0.3">
      <c r="A173" s="315" t="s">
        <v>99</v>
      </c>
      <c r="B173" s="316"/>
      <c r="C173" s="316"/>
      <c r="D173" s="316"/>
      <c r="E173" s="316"/>
      <c r="F173" s="316"/>
      <c r="G173" s="316"/>
      <c r="H173" s="285"/>
      <c r="I173" s="287"/>
      <c r="J173" s="288"/>
    </row>
    <row r="174" spans="1:10" ht="11.1" customHeight="1" x14ac:dyDescent="0.3">
      <c r="A174" s="29"/>
      <c r="B174" s="30"/>
      <c r="C174" s="29" t="s">
        <v>19</v>
      </c>
      <c r="D174" s="29"/>
      <c r="E174" s="29"/>
      <c r="F174" s="31"/>
      <c r="G174" s="29" t="s">
        <v>19</v>
      </c>
      <c r="H174" s="285"/>
      <c r="I174" s="287"/>
      <c r="J174" s="288"/>
    </row>
    <row r="175" spans="1:10" ht="11.1" customHeight="1" x14ac:dyDescent="0.3">
      <c r="A175" s="24"/>
      <c r="B175" s="2" t="s">
        <v>1</v>
      </c>
      <c r="C175" s="24" t="s">
        <v>28</v>
      </c>
      <c r="D175" s="24" t="s">
        <v>2</v>
      </c>
      <c r="E175" s="24" t="s">
        <v>16</v>
      </c>
      <c r="F175" s="32" t="s">
        <v>27</v>
      </c>
      <c r="G175" s="24" t="s">
        <v>28</v>
      </c>
      <c r="H175" s="285"/>
      <c r="I175" s="287"/>
      <c r="J175" s="288"/>
    </row>
    <row r="176" spans="1:10" ht="11.1" customHeight="1" x14ac:dyDescent="0.3">
      <c r="A176" s="33"/>
      <c r="B176" s="129"/>
      <c r="C176" s="33" t="s">
        <v>24</v>
      </c>
      <c r="D176" s="33"/>
      <c r="E176" s="34"/>
      <c r="F176" s="35"/>
      <c r="G176" s="33" t="s">
        <v>30</v>
      </c>
      <c r="H176" s="285"/>
      <c r="I176" s="287"/>
      <c r="J176" s="288"/>
    </row>
    <row r="177" spans="1:10" ht="11.1" customHeight="1" x14ac:dyDescent="0.3">
      <c r="A177" s="37" t="s">
        <v>20</v>
      </c>
      <c r="B177" s="131" t="s">
        <v>33</v>
      </c>
      <c r="C177" s="60"/>
      <c r="D177" s="60"/>
      <c r="E177" s="61"/>
      <c r="F177" s="61"/>
      <c r="G177" s="61"/>
      <c r="H177" s="285"/>
      <c r="I177" s="287"/>
      <c r="J177" s="288"/>
    </row>
    <row r="178" spans="1:10" ht="11.1" customHeight="1" x14ac:dyDescent="0.3">
      <c r="A178" s="101"/>
      <c r="B178" s="132" t="s">
        <v>7</v>
      </c>
      <c r="C178" s="62">
        <v>187045.24</v>
      </c>
      <c r="D178" s="62">
        <v>660660.21</v>
      </c>
      <c r="E178" s="62">
        <f>C178+D178-G178</f>
        <v>638988.28</v>
      </c>
      <c r="F178" s="62"/>
      <c r="G178" s="62">
        <f>226282.15-17564.98</f>
        <v>208717.16999999998</v>
      </c>
      <c r="H178" s="285"/>
      <c r="I178" s="287"/>
      <c r="J178" s="288"/>
    </row>
    <row r="179" spans="1:10" ht="11.1" customHeight="1" x14ac:dyDescent="0.3">
      <c r="A179" s="101"/>
      <c r="B179" s="132" t="s">
        <v>17</v>
      </c>
      <c r="C179" s="86">
        <f>D179/12</f>
        <v>1246.6666666666667</v>
      </c>
      <c r="D179" s="62">
        <v>14960</v>
      </c>
      <c r="E179" s="62">
        <f>C179+D179-G179</f>
        <v>14860.266666666666</v>
      </c>
      <c r="F179" s="63"/>
      <c r="G179" s="62">
        <f>D179*9%</f>
        <v>1346.3999999999999</v>
      </c>
      <c r="H179" s="285"/>
      <c r="I179" s="287"/>
      <c r="J179" s="288"/>
    </row>
    <row r="180" spans="1:10" ht="11.1" customHeight="1" x14ac:dyDescent="0.3">
      <c r="A180" s="101"/>
      <c r="B180" s="135" t="s">
        <v>23</v>
      </c>
      <c r="C180" s="63">
        <f>SUM(C178:C179)</f>
        <v>188291.90666666665</v>
      </c>
      <c r="D180" s="63">
        <f>SUM(D178:D179)</f>
        <v>675620.21</v>
      </c>
      <c r="E180" s="63">
        <f>SUM(E178:E179)</f>
        <v>653848.54666666675</v>
      </c>
      <c r="F180" s="63">
        <f>D180+2151.03</f>
        <v>677771.24</v>
      </c>
      <c r="G180" s="63">
        <f>SUM(G178:G179)</f>
        <v>210063.56999999998</v>
      </c>
      <c r="H180" s="285"/>
      <c r="I180" s="287"/>
      <c r="J180" s="288"/>
    </row>
    <row r="181" spans="1:10" ht="11.1" customHeight="1" x14ac:dyDescent="0.3">
      <c r="A181" s="101"/>
      <c r="B181" s="135"/>
      <c r="C181" s="68"/>
      <c r="D181" s="62"/>
      <c r="E181" s="62"/>
      <c r="F181" s="62"/>
      <c r="G181" s="62"/>
      <c r="H181" s="285"/>
      <c r="I181" s="287"/>
      <c r="J181" s="288"/>
    </row>
    <row r="182" spans="1:10" ht="11.1" customHeight="1" x14ac:dyDescent="0.3">
      <c r="A182" s="39">
        <v>2</v>
      </c>
      <c r="B182" s="152" t="s">
        <v>34</v>
      </c>
      <c r="C182" s="63">
        <v>0</v>
      </c>
      <c r="D182" s="63">
        <v>142685.25</v>
      </c>
      <c r="E182" s="63">
        <f>D182-G182</f>
        <v>116241.24</v>
      </c>
      <c r="F182" s="63">
        <f>D182</f>
        <v>142685.25</v>
      </c>
      <c r="G182" s="63">
        <f>17564.98+8477.73+401.3</f>
        <v>26444.01</v>
      </c>
      <c r="H182" s="285"/>
      <c r="I182" s="287"/>
      <c r="J182" s="288"/>
    </row>
    <row r="183" spans="1:10" ht="11.1" customHeight="1" x14ac:dyDescent="0.3">
      <c r="A183" s="40"/>
      <c r="B183" s="40"/>
      <c r="C183" s="64"/>
      <c r="D183" s="64"/>
      <c r="E183" s="64"/>
      <c r="F183" s="64"/>
      <c r="G183" s="64"/>
      <c r="H183" s="285"/>
      <c r="I183" s="287"/>
      <c r="J183" s="288"/>
    </row>
    <row r="184" spans="1:10" ht="11.1" customHeight="1" x14ac:dyDescent="0.3">
      <c r="A184" s="39" t="s">
        <v>22</v>
      </c>
      <c r="B184" s="137" t="s">
        <v>50</v>
      </c>
      <c r="C184" s="63">
        <f>87926.68</f>
        <v>87926.68</v>
      </c>
      <c r="D184" s="63">
        <v>267896.94</v>
      </c>
      <c r="E184" s="63">
        <f>C184+D184-G184</f>
        <v>262381.83999999997</v>
      </c>
      <c r="F184" s="65">
        <v>105057.56</v>
      </c>
      <c r="G184" s="63">
        <f>102320.81-8477.73-401.3</f>
        <v>93441.78</v>
      </c>
      <c r="H184" s="285"/>
      <c r="I184" s="287"/>
      <c r="J184" s="288"/>
    </row>
    <row r="185" spans="1:10" ht="11.1" customHeight="1" x14ac:dyDescent="0.3">
      <c r="A185" s="41"/>
      <c r="B185" s="174"/>
      <c r="C185" s="66"/>
      <c r="D185" s="66"/>
      <c r="E185" s="66"/>
      <c r="F185" s="67"/>
      <c r="G185" s="66"/>
      <c r="H185" s="285"/>
      <c r="I185" s="287"/>
      <c r="J185" s="288"/>
    </row>
    <row r="186" spans="1:10" ht="11.1" customHeight="1" x14ac:dyDescent="0.3">
      <c r="A186" s="81"/>
      <c r="B186" s="82" t="s">
        <v>74</v>
      </c>
      <c r="C186" s="90">
        <f>SUM(C180:C184)</f>
        <v>276218.58666666667</v>
      </c>
      <c r="D186" s="90">
        <f>SUM(D180:D184)</f>
        <v>1086202.3999999999</v>
      </c>
      <c r="E186" s="90">
        <f>SUM(E180:E184)</f>
        <v>1032471.6266666667</v>
      </c>
      <c r="F186" s="90">
        <f>SUM(F180:F184)</f>
        <v>925514.05</v>
      </c>
      <c r="G186" s="90">
        <f>SUM(G180:G184)</f>
        <v>329949.36</v>
      </c>
      <c r="H186" s="285"/>
      <c r="I186" s="287"/>
      <c r="J186" s="288"/>
    </row>
    <row r="187" spans="1:10" ht="11.1" customHeight="1" x14ac:dyDescent="0.3">
      <c r="A187" s="130"/>
      <c r="B187" s="36"/>
      <c r="C187" s="30"/>
      <c r="D187" s="36"/>
      <c r="E187" s="36"/>
      <c r="F187" s="36"/>
      <c r="G187" s="51"/>
      <c r="H187" s="285"/>
      <c r="I187" s="287"/>
      <c r="J187" s="288"/>
    </row>
    <row r="188" spans="1:10" ht="11.1" customHeight="1" x14ac:dyDescent="0.3">
      <c r="A188" s="318" t="s">
        <v>48</v>
      </c>
      <c r="B188" s="319"/>
      <c r="C188" s="319"/>
      <c r="D188" s="319"/>
      <c r="E188" s="319"/>
      <c r="F188" s="319"/>
      <c r="G188" s="45"/>
      <c r="H188" s="285"/>
      <c r="I188" s="287"/>
      <c r="J188" s="288"/>
    </row>
    <row r="189" spans="1:10" ht="11.1" customHeight="1" x14ac:dyDescent="0.3">
      <c r="A189" s="1"/>
      <c r="B189" s="2"/>
      <c r="C189" s="29" t="s">
        <v>19</v>
      </c>
      <c r="D189" s="29"/>
      <c r="E189" s="29"/>
      <c r="F189" s="31"/>
      <c r="G189" s="29" t="s">
        <v>19</v>
      </c>
      <c r="H189" s="285"/>
      <c r="I189" s="287"/>
      <c r="J189" s="288"/>
    </row>
    <row r="190" spans="1:10" ht="11.1" customHeight="1" x14ac:dyDescent="0.3">
      <c r="A190" s="1" t="s">
        <v>15</v>
      </c>
      <c r="B190" s="2" t="s">
        <v>1</v>
      </c>
      <c r="C190" s="24" t="s">
        <v>28</v>
      </c>
      <c r="D190" s="24" t="s">
        <v>2</v>
      </c>
      <c r="E190" s="24" t="s">
        <v>16</v>
      </c>
      <c r="F190" s="32" t="s">
        <v>27</v>
      </c>
      <c r="G190" s="24" t="s">
        <v>28</v>
      </c>
      <c r="H190" s="285"/>
      <c r="I190" s="287"/>
      <c r="J190" s="288"/>
    </row>
    <row r="191" spans="1:10" ht="11.1" customHeight="1" x14ac:dyDescent="0.3">
      <c r="A191" s="1" t="s">
        <v>0</v>
      </c>
      <c r="B191" s="2"/>
      <c r="C191" s="33" t="s">
        <v>24</v>
      </c>
      <c r="D191" s="33"/>
      <c r="E191" s="34"/>
      <c r="F191" s="35"/>
      <c r="G191" s="33" t="s">
        <v>30</v>
      </c>
      <c r="H191" s="285"/>
      <c r="I191" s="287"/>
      <c r="J191" s="288"/>
    </row>
    <row r="192" spans="1:10" ht="11.1" customHeight="1" x14ac:dyDescent="0.3">
      <c r="A192" s="47" t="s">
        <v>20</v>
      </c>
      <c r="B192" s="160" t="s">
        <v>21</v>
      </c>
      <c r="C192" s="38"/>
      <c r="D192" s="38"/>
      <c r="E192" s="38"/>
      <c r="F192" s="38"/>
      <c r="G192" s="38"/>
      <c r="H192" s="285"/>
      <c r="I192" s="287"/>
      <c r="J192" s="288"/>
    </row>
    <row r="193" spans="1:10" ht="11.1" customHeight="1" x14ac:dyDescent="0.3">
      <c r="A193" s="48"/>
      <c r="B193" s="162" t="s">
        <v>75</v>
      </c>
      <c r="C193" s="43">
        <v>288188.45</v>
      </c>
      <c r="D193" s="5">
        <v>1243104.31</v>
      </c>
      <c r="E193" s="5">
        <f>C193+D193-G193</f>
        <v>1128753.1200000001</v>
      </c>
      <c r="F193" s="5">
        <v>1247053.1200000001</v>
      </c>
      <c r="G193" s="43">
        <v>402539.64</v>
      </c>
      <c r="H193" s="285"/>
      <c r="I193" s="287"/>
      <c r="J193" s="288"/>
    </row>
    <row r="194" spans="1:10" ht="11.1" customHeight="1" x14ac:dyDescent="0.3">
      <c r="A194" s="49"/>
      <c r="B194" s="162" t="s">
        <v>76</v>
      </c>
      <c r="C194" s="14">
        <f>150630.66+10838.66+11994.01</f>
        <v>173463.33000000002</v>
      </c>
      <c r="D194" s="14">
        <v>567712.66</v>
      </c>
      <c r="E194" s="14">
        <f>C194+D194-G194</f>
        <v>532675.33000000007</v>
      </c>
      <c r="F194" s="14">
        <f>119194.28+457201.58</f>
        <v>576395.86</v>
      </c>
      <c r="G194" s="14">
        <f>182460.77+14709.64+11330.25</f>
        <v>208500.65999999997</v>
      </c>
      <c r="H194" s="285"/>
      <c r="I194" s="287"/>
      <c r="J194" s="288"/>
    </row>
    <row r="195" spans="1:10" ht="11.1" customHeight="1" x14ac:dyDescent="0.3">
      <c r="A195" s="49"/>
      <c r="B195" s="135" t="s">
        <v>23</v>
      </c>
      <c r="C195" s="50">
        <f>SUM(C193:C194)</f>
        <v>461651.78</v>
      </c>
      <c r="D195" s="50">
        <f>SUM(D193:D194)</f>
        <v>1810816.9700000002</v>
      </c>
      <c r="E195" s="50">
        <f>SUM(E193:E194)</f>
        <v>1661428.4500000002</v>
      </c>
      <c r="F195" s="50">
        <f>SUM(F193:F194)</f>
        <v>1823448.98</v>
      </c>
      <c r="G195" s="50">
        <f>SUM(G193:G194)</f>
        <v>611040.30000000005</v>
      </c>
      <c r="H195" s="285"/>
      <c r="I195" s="287"/>
      <c r="J195" s="288"/>
    </row>
    <row r="196" spans="1:10" ht="11.1" customHeight="1" x14ac:dyDescent="0.3">
      <c r="A196" s="49"/>
      <c r="B196" s="138"/>
      <c r="C196" s="5"/>
      <c r="D196" s="14"/>
      <c r="E196" s="5"/>
      <c r="F196" s="14"/>
      <c r="G196" s="5"/>
      <c r="H196" s="285"/>
      <c r="I196" s="287"/>
      <c r="J196" s="288"/>
    </row>
    <row r="197" spans="1:10" ht="11.1" customHeight="1" x14ac:dyDescent="0.3">
      <c r="A197" s="101" t="s">
        <v>26</v>
      </c>
      <c r="B197" s="137" t="s">
        <v>29</v>
      </c>
      <c r="C197" s="43">
        <f>73718+58799.36</f>
        <v>132517.35999999999</v>
      </c>
      <c r="D197" s="5">
        <f>187196.98+175370.17</f>
        <v>362567.15</v>
      </c>
      <c r="E197" s="5">
        <f>C197+D197-G197</f>
        <v>342362.89</v>
      </c>
      <c r="F197" s="5">
        <f>D197</f>
        <v>362567.15</v>
      </c>
      <c r="G197" s="5">
        <f>84581.64+68139.98</f>
        <v>152721.62</v>
      </c>
      <c r="H197" s="285"/>
      <c r="I197" s="287"/>
      <c r="J197" s="288"/>
    </row>
    <row r="198" spans="1:10" ht="11.1" customHeight="1" x14ac:dyDescent="0.3">
      <c r="A198" s="39"/>
      <c r="B198" s="40"/>
      <c r="C198" s="43"/>
      <c r="D198" s="14"/>
      <c r="E198" s="43"/>
      <c r="F198" s="5"/>
      <c r="G198" s="5"/>
      <c r="H198" s="285"/>
      <c r="I198" s="287"/>
      <c r="J198" s="288"/>
    </row>
    <row r="199" spans="1:10" ht="11.1" customHeight="1" x14ac:dyDescent="0.3">
      <c r="A199" s="101" t="s">
        <v>22</v>
      </c>
      <c r="B199" s="145" t="s">
        <v>5</v>
      </c>
      <c r="C199" s="5">
        <v>14930.66</v>
      </c>
      <c r="D199" s="43">
        <v>86395.38</v>
      </c>
      <c r="E199" s="43">
        <f>C199+D199-G199</f>
        <v>81869.070000000007</v>
      </c>
      <c r="F199" s="43">
        <f>D199</f>
        <v>86395.38</v>
      </c>
      <c r="G199" s="5">
        <v>19456.97</v>
      </c>
      <c r="H199" s="285"/>
      <c r="I199" s="287"/>
      <c r="J199" s="288"/>
    </row>
    <row r="200" spans="1:10" ht="11.1" customHeight="1" x14ac:dyDescent="0.3">
      <c r="A200" s="41"/>
      <c r="B200" s="146"/>
      <c r="C200" s="10"/>
      <c r="D200" s="15"/>
      <c r="E200" s="59"/>
      <c r="F200" s="10"/>
      <c r="G200" s="10"/>
      <c r="H200" s="285"/>
      <c r="I200" s="287"/>
      <c r="J200" s="288"/>
    </row>
    <row r="201" spans="1:10" ht="11.1" customHeight="1" x14ac:dyDescent="0.3">
      <c r="A201" s="93"/>
      <c r="B201" s="94" t="s">
        <v>74</v>
      </c>
      <c r="C201" s="91">
        <f>C199+C197+C195</f>
        <v>609099.80000000005</v>
      </c>
      <c r="D201" s="91">
        <f>D199+D197+D195</f>
        <v>2259779.5</v>
      </c>
      <c r="E201" s="91">
        <f>E199+E197+E195</f>
        <v>2085660.4100000001</v>
      </c>
      <c r="F201" s="91">
        <f>F199+F197+F195</f>
        <v>2272411.5099999998</v>
      </c>
      <c r="G201" s="91">
        <f>G199+G197+G195</f>
        <v>783218.89</v>
      </c>
      <c r="H201" s="285"/>
      <c r="I201" s="287"/>
      <c r="J201" s="288"/>
    </row>
    <row r="202" spans="1:10" ht="11.1" customHeight="1" x14ac:dyDescent="0.3">
      <c r="A202" s="46"/>
      <c r="B202" s="46"/>
      <c r="C202" s="18"/>
      <c r="D202" s="18"/>
      <c r="E202" s="18"/>
      <c r="F202" s="18"/>
      <c r="G202" s="18"/>
      <c r="H202" s="285"/>
      <c r="I202" s="287"/>
      <c r="J202" s="288"/>
    </row>
    <row r="203" spans="1:10" ht="11.1" customHeight="1" x14ac:dyDescent="0.3">
      <c r="A203" s="46"/>
      <c r="B203" s="46"/>
      <c r="C203" s="18"/>
      <c r="D203" s="18"/>
      <c r="E203" s="18"/>
      <c r="F203" s="18"/>
      <c r="G203" s="18"/>
      <c r="H203" s="285"/>
      <c r="I203" s="287"/>
      <c r="J203" s="288"/>
    </row>
    <row r="204" spans="1:10" ht="11.1" customHeight="1" x14ac:dyDescent="0.3">
      <c r="A204" s="46"/>
      <c r="B204" s="46"/>
      <c r="C204" s="18"/>
      <c r="D204" s="18"/>
      <c r="E204" s="18"/>
      <c r="F204" s="18"/>
      <c r="G204" s="18"/>
      <c r="H204" s="285"/>
      <c r="I204" s="287"/>
      <c r="J204" s="288"/>
    </row>
    <row r="205" spans="1:10" ht="11.1" customHeight="1" x14ac:dyDescent="0.3">
      <c r="A205" s="46"/>
      <c r="B205" s="46"/>
      <c r="C205" s="18"/>
      <c r="D205" s="18"/>
      <c r="E205" s="18"/>
      <c r="F205" s="18"/>
      <c r="G205" s="18"/>
      <c r="H205" s="285"/>
      <c r="I205" s="287"/>
      <c r="J205" s="288"/>
    </row>
    <row r="206" spans="1:10" ht="11.1" customHeight="1" x14ac:dyDescent="0.3">
      <c r="A206" s="46"/>
      <c r="B206" s="46"/>
      <c r="C206" s="18"/>
      <c r="D206" s="18"/>
      <c r="E206" s="18"/>
      <c r="F206" s="18"/>
      <c r="G206" s="18"/>
      <c r="H206" s="285"/>
      <c r="I206" s="287"/>
      <c r="J206" s="288"/>
    </row>
    <row r="207" spans="1:10" ht="11.1" customHeight="1" x14ac:dyDescent="0.3">
      <c r="A207" s="46"/>
      <c r="B207" s="46"/>
      <c r="C207" s="18"/>
      <c r="D207" s="18"/>
      <c r="E207" s="18"/>
      <c r="F207" s="18"/>
      <c r="G207" s="18"/>
      <c r="H207" s="285"/>
      <c r="I207" s="287"/>
      <c r="J207" s="288"/>
    </row>
    <row r="208" spans="1:10" ht="11.1" customHeight="1" x14ac:dyDescent="0.3">
      <c r="A208" s="46"/>
      <c r="B208" s="46"/>
      <c r="C208" s="18"/>
      <c r="D208" s="18"/>
      <c r="E208" s="18"/>
      <c r="F208" s="18"/>
      <c r="G208" s="18"/>
      <c r="H208" s="285"/>
      <c r="I208" s="287"/>
      <c r="J208" s="288"/>
    </row>
    <row r="209" spans="1:10" ht="11.1" customHeight="1" x14ac:dyDescent="0.3">
      <c r="A209" s="46"/>
      <c r="B209" s="46"/>
      <c r="C209" s="18"/>
      <c r="D209" s="18"/>
      <c r="E209" s="18"/>
      <c r="F209" s="18"/>
      <c r="G209" s="18"/>
      <c r="H209" s="285"/>
      <c r="I209" s="287"/>
      <c r="J209" s="288"/>
    </row>
    <row r="210" spans="1:10" ht="11.1" customHeight="1" x14ac:dyDescent="0.3">
      <c r="A210" s="46"/>
      <c r="B210" s="46"/>
      <c r="C210" s="18"/>
      <c r="D210" s="18"/>
      <c r="E210" s="18"/>
      <c r="F210" s="18"/>
      <c r="G210" s="18"/>
      <c r="H210" s="285"/>
      <c r="I210" s="287"/>
      <c r="J210" s="288"/>
    </row>
    <row r="211" spans="1:10" ht="11.1" customHeight="1" x14ac:dyDescent="0.3">
      <c r="A211" s="46"/>
      <c r="B211" s="46"/>
      <c r="C211" s="18"/>
      <c r="D211" s="18"/>
      <c r="E211" s="18"/>
      <c r="F211" s="18"/>
      <c r="G211" s="18"/>
      <c r="H211" s="285"/>
      <c r="I211" s="287"/>
      <c r="J211" s="288"/>
    </row>
    <row r="212" spans="1:10" ht="11.1" customHeight="1" x14ac:dyDescent="0.3">
      <c r="A212" s="46"/>
      <c r="B212" s="46"/>
      <c r="C212" s="18"/>
      <c r="D212" s="18"/>
      <c r="E212" s="18"/>
      <c r="F212" s="18"/>
      <c r="G212" s="18"/>
      <c r="H212" s="285"/>
      <c r="I212" s="287"/>
      <c r="J212" s="288"/>
    </row>
    <row r="213" spans="1:10" ht="11.1" customHeight="1" x14ac:dyDescent="0.3">
      <c r="A213" s="305" t="s">
        <v>6</v>
      </c>
      <c r="B213" s="305"/>
      <c r="C213" s="305"/>
      <c r="D213" s="305"/>
      <c r="E213" s="305"/>
      <c r="F213" s="305"/>
      <c r="G213" s="305"/>
      <c r="H213" s="285"/>
      <c r="I213" s="287"/>
      <c r="J213" s="288"/>
    </row>
    <row r="214" spans="1:10" ht="11.1" customHeight="1" x14ac:dyDescent="0.3">
      <c r="A214" s="305" t="s">
        <v>35</v>
      </c>
      <c r="B214" s="305"/>
      <c r="C214" s="305"/>
      <c r="D214" s="305"/>
      <c r="E214" s="305"/>
      <c r="F214" s="305"/>
      <c r="G214" s="305"/>
      <c r="H214" s="285"/>
      <c r="I214" s="287"/>
      <c r="J214" s="288"/>
    </row>
    <row r="215" spans="1:10" ht="11.1" customHeight="1" x14ac:dyDescent="0.3">
      <c r="A215" s="311" t="s">
        <v>36</v>
      </c>
      <c r="B215" s="311"/>
      <c r="C215" s="311"/>
      <c r="D215" s="311"/>
      <c r="E215" s="311"/>
      <c r="F215" s="311"/>
      <c r="G215" s="311"/>
      <c r="H215" s="285"/>
      <c r="I215" s="287"/>
      <c r="J215" s="288"/>
    </row>
    <row r="216" spans="1:10" ht="11.1" customHeight="1" x14ac:dyDescent="0.3">
      <c r="A216" s="339" t="s">
        <v>41</v>
      </c>
      <c r="B216" s="340"/>
      <c r="C216" s="340"/>
      <c r="D216" s="340"/>
      <c r="E216" s="340"/>
      <c r="F216" s="340"/>
      <c r="G216" s="341"/>
      <c r="H216" s="285"/>
      <c r="I216" s="287"/>
      <c r="J216" s="288"/>
    </row>
    <row r="217" spans="1:10" ht="11.1" customHeight="1" x14ac:dyDescent="0.3">
      <c r="A217" s="25"/>
      <c r="B217" s="292" t="s">
        <v>3</v>
      </c>
      <c r="C217" s="293"/>
      <c r="D217" s="293"/>
      <c r="E217" s="293"/>
      <c r="F217" s="293"/>
      <c r="G217" s="294"/>
      <c r="H217" s="285"/>
      <c r="I217" s="287"/>
      <c r="J217" s="288"/>
    </row>
    <row r="218" spans="1:10" ht="11.1" customHeight="1" x14ac:dyDescent="0.3">
      <c r="A218" s="26">
        <v>1</v>
      </c>
      <c r="B218" s="295" t="s">
        <v>4</v>
      </c>
      <c r="C218" s="296"/>
      <c r="D218" s="296"/>
      <c r="E218" s="297"/>
      <c r="F218" s="298">
        <v>1987</v>
      </c>
      <c r="G218" s="299"/>
      <c r="H218" s="285"/>
      <c r="I218" s="287"/>
      <c r="J218" s="288"/>
    </row>
    <row r="219" spans="1:10" ht="11.1" customHeight="1" x14ac:dyDescent="0.3">
      <c r="A219" s="27">
        <v>2</v>
      </c>
      <c r="B219" s="300" t="s">
        <v>12</v>
      </c>
      <c r="C219" s="301"/>
      <c r="D219" s="301"/>
      <c r="E219" s="302"/>
      <c r="F219" s="303">
        <v>10</v>
      </c>
      <c r="G219" s="304"/>
      <c r="H219" s="285"/>
      <c r="I219" s="287"/>
      <c r="J219" s="288"/>
    </row>
    <row r="220" spans="1:10" ht="11.1" customHeight="1" x14ac:dyDescent="0.3">
      <c r="A220" s="27">
        <v>3</v>
      </c>
      <c r="B220" s="300" t="s">
        <v>14</v>
      </c>
      <c r="C220" s="301"/>
      <c r="D220" s="301"/>
      <c r="E220" s="302"/>
      <c r="F220" s="303">
        <v>3</v>
      </c>
      <c r="G220" s="304"/>
      <c r="H220" s="285"/>
      <c r="I220" s="287"/>
      <c r="J220" s="288"/>
    </row>
    <row r="221" spans="1:10" ht="11.1" customHeight="1" x14ac:dyDescent="0.3">
      <c r="A221" s="27">
        <v>4</v>
      </c>
      <c r="B221" s="300" t="s">
        <v>13</v>
      </c>
      <c r="C221" s="301"/>
      <c r="D221" s="301"/>
      <c r="E221" s="302"/>
      <c r="F221" s="303">
        <v>118</v>
      </c>
      <c r="G221" s="304"/>
      <c r="H221" s="285"/>
      <c r="I221" s="287"/>
      <c r="J221" s="288"/>
    </row>
    <row r="222" spans="1:10" ht="11.1" customHeight="1" x14ac:dyDescent="0.3">
      <c r="A222" s="27">
        <v>5</v>
      </c>
      <c r="B222" s="300" t="s">
        <v>10</v>
      </c>
      <c r="C222" s="301"/>
      <c r="D222" s="301"/>
      <c r="E222" s="302"/>
      <c r="F222" s="303">
        <v>1029.8</v>
      </c>
      <c r="G222" s="304"/>
      <c r="H222" s="285"/>
      <c r="I222" s="287"/>
      <c r="J222" s="288"/>
    </row>
    <row r="223" spans="1:10" ht="11.1" customHeight="1" x14ac:dyDescent="0.3">
      <c r="A223" s="27">
        <v>6</v>
      </c>
      <c r="B223" s="300" t="s">
        <v>11</v>
      </c>
      <c r="C223" s="301"/>
      <c r="D223" s="301"/>
      <c r="E223" s="302"/>
      <c r="F223" s="303">
        <v>6448.3</v>
      </c>
      <c r="G223" s="304"/>
      <c r="H223" s="285"/>
      <c r="I223" s="287"/>
      <c r="J223" s="288"/>
    </row>
    <row r="224" spans="1:10" ht="11.1" customHeight="1" x14ac:dyDescent="0.3">
      <c r="A224" s="28">
        <v>7</v>
      </c>
      <c r="B224" s="306" t="s">
        <v>9</v>
      </c>
      <c r="C224" s="307"/>
      <c r="D224" s="307"/>
      <c r="E224" s="308"/>
      <c r="F224" s="309">
        <v>118.2</v>
      </c>
      <c r="G224" s="310"/>
      <c r="H224" s="285"/>
      <c r="I224" s="287"/>
      <c r="J224" s="288"/>
    </row>
    <row r="225" spans="1:10" ht="11.1" customHeight="1" x14ac:dyDescent="0.3">
      <c r="A225" s="309"/>
      <c r="B225" s="338"/>
      <c r="C225" s="338"/>
      <c r="D225" s="338"/>
      <c r="E225" s="338"/>
      <c r="F225" s="338"/>
      <c r="G225" s="310"/>
      <c r="H225" s="285"/>
      <c r="I225" s="287"/>
      <c r="J225" s="288"/>
    </row>
    <row r="226" spans="1:10" ht="11.1" customHeight="1" x14ac:dyDescent="0.3">
      <c r="A226" s="315" t="s">
        <v>99</v>
      </c>
      <c r="B226" s="316"/>
      <c r="C226" s="316"/>
      <c r="D226" s="316"/>
      <c r="E226" s="316"/>
      <c r="F226" s="316"/>
      <c r="G226" s="317"/>
      <c r="H226" s="285"/>
      <c r="I226" s="287"/>
      <c r="J226" s="288"/>
    </row>
    <row r="227" spans="1:10" ht="11.1" customHeight="1" x14ac:dyDescent="0.3">
      <c r="A227" s="29"/>
      <c r="B227" s="30"/>
      <c r="C227" s="29" t="s">
        <v>19</v>
      </c>
      <c r="D227" s="29"/>
      <c r="E227" s="29"/>
      <c r="F227" s="31"/>
      <c r="G227" s="29" t="s">
        <v>19</v>
      </c>
      <c r="H227" s="285"/>
      <c r="I227" s="287"/>
      <c r="J227" s="288"/>
    </row>
    <row r="228" spans="1:10" ht="11.1" customHeight="1" x14ac:dyDescent="0.3">
      <c r="A228" s="24"/>
      <c r="B228" s="2" t="s">
        <v>1</v>
      </c>
      <c r="C228" s="24" t="s">
        <v>28</v>
      </c>
      <c r="D228" s="24" t="s">
        <v>2</v>
      </c>
      <c r="E228" s="24" t="s">
        <v>16</v>
      </c>
      <c r="F228" s="32" t="s">
        <v>27</v>
      </c>
      <c r="G228" s="24" t="s">
        <v>28</v>
      </c>
      <c r="H228" s="285"/>
      <c r="I228" s="287"/>
      <c r="J228" s="288"/>
    </row>
    <row r="229" spans="1:10" ht="11.1" customHeight="1" x14ac:dyDescent="0.3">
      <c r="A229" s="33"/>
      <c r="B229" s="129"/>
      <c r="C229" s="33" t="s">
        <v>24</v>
      </c>
      <c r="D229" s="33"/>
      <c r="E229" s="34"/>
      <c r="F229" s="35"/>
      <c r="G229" s="33" t="s">
        <v>30</v>
      </c>
      <c r="H229" s="285"/>
      <c r="I229" s="287"/>
      <c r="J229" s="288"/>
    </row>
    <row r="230" spans="1:10" ht="11.1" customHeight="1" x14ac:dyDescent="0.3">
      <c r="A230" s="37" t="s">
        <v>20</v>
      </c>
      <c r="B230" s="131" t="s">
        <v>33</v>
      </c>
      <c r="C230" s="60"/>
      <c r="D230" s="60"/>
      <c r="E230" s="61"/>
      <c r="F230" s="61"/>
      <c r="G230" s="61"/>
      <c r="H230" s="285"/>
      <c r="I230" s="287"/>
      <c r="J230" s="288"/>
    </row>
    <row r="231" spans="1:10" ht="11.1" customHeight="1" x14ac:dyDescent="0.3">
      <c r="A231" s="101"/>
      <c r="B231" s="132" t="s">
        <v>7</v>
      </c>
      <c r="C231" s="62">
        <v>135974.70000000001</v>
      </c>
      <c r="D231" s="62">
        <v>1107301.05</v>
      </c>
      <c r="E231" s="62">
        <f>C231+D231-G231</f>
        <v>1108235.07</v>
      </c>
      <c r="F231" s="62"/>
      <c r="G231" s="62">
        <f>156224.5-21183.82</f>
        <v>135040.68</v>
      </c>
      <c r="H231" s="285"/>
      <c r="I231" s="287"/>
      <c r="J231" s="288"/>
    </row>
    <row r="232" spans="1:10" ht="11.1" customHeight="1" x14ac:dyDescent="0.3">
      <c r="A232" s="101"/>
      <c r="B232" s="132" t="s">
        <v>8</v>
      </c>
      <c r="C232" s="86">
        <f>D232/12</f>
        <v>1507.3458333333335</v>
      </c>
      <c r="D232" s="62">
        <v>18088.150000000001</v>
      </c>
      <c r="E232" s="62">
        <f>C232+D232-G232</f>
        <v>17967.562333333335</v>
      </c>
      <c r="F232" s="62"/>
      <c r="G232" s="62">
        <f>D232*9%</f>
        <v>1627.9335000000001</v>
      </c>
      <c r="H232" s="285"/>
      <c r="I232" s="287"/>
      <c r="J232" s="288"/>
    </row>
    <row r="233" spans="1:10" ht="11.1" customHeight="1" x14ac:dyDescent="0.3">
      <c r="A233" s="101"/>
      <c r="B233" s="132" t="s">
        <v>17</v>
      </c>
      <c r="C233" s="86">
        <f>D233/12</f>
        <v>920</v>
      </c>
      <c r="D233" s="62">
        <v>11040</v>
      </c>
      <c r="E233" s="62">
        <f>C233+D233-G233</f>
        <v>10966.4</v>
      </c>
      <c r="F233" s="62"/>
      <c r="G233" s="62">
        <f>D233*9%</f>
        <v>993.59999999999991</v>
      </c>
      <c r="H233" s="285"/>
      <c r="I233" s="287"/>
      <c r="J233" s="288"/>
    </row>
    <row r="234" spans="1:10" ht="11.1" customHeight="1" x14ac:dyDescent="0.3">
      <c r="A234" s="101"/>
      <c r="B234" s="135" t="s">
        <v>23</v>
      </c>
      <c r="C234" s="63">
        <f>SUM(C231:C233)</f>
        <v>138402.04583333334</v>
      </c>
      <c r="D234" s="63">
        <f>SUM(D231:D233)</f>
        <v>1136429.2</v>
      </c>
      <c r="E234" s="63">
        <f>SUM(E231:E233)</f>
        <v>1137169.0323333333</v>
      </c>
      <c r="F234" s="63">
        <f>D234+529.49</f>
        <v>1136958.69</v>
      </c>
      <c r="G234" s="63">
        <f>SUM(G231:G233)</f>
        <v>137662.21350000001</v>
      </c>
      <c r="H234" s="285"/>
      <c r="I234" s="287"/>
      <c r="J234" s="288"/>
    </row>
    <row r="235" spans="1:10" ht="11.1" customHeight="1" x14ac:dyDescent="0.3">
      <c r="A235" s="101"/>
      <c r="B235" s="135"/>
      <c r="C235" s="68"/>
      <c r="D235" s="62"/>
      <c r="E235" s="62"/>
      <c r="F235" s="62"/>
      <c r="G235" s="62"/>
      <c r="H235" s="285"/>
      <c r="I235" s="287"/>
      <c r="J235" s="288"/>
    </row>
    <row r="236" spans="1:10" ht="11.1" customHeight="1" x14ac:dyDescent="0.3">
      <c r="A236" s="39">
        <v>2</v>
      </c>
      <c r="B236" s="152" t="s">
        <v>34</v>
      </c>
      <c r="C236" s="63">
        <v>0</v>
      </c>
      <c r="D236" s="63">
        <v>238522.77</v>
      </c>
      <c r="E236" s="63">
        <f>D236-G236</f>
        <v>206630.53999999998</v>
      </c>
      <c r="F236" s="63">
        <f>D236</f>
        <v>238522.77</v>
      </c>
      <c r="G236" s="63">
        <f>21183.82+10382.48+325.93</f>
        <v>31892.23</v>
      </c>
      <c r="H236" s="285"/>
      <c r="I236" s="287"/>
      <c r="J236" s="288"/>
    </row>
    <row r="237" spans="1:10" ht="11.1" customHeight="1" x14ac:dyDescent="0.3">
      <c r="A237" s="40"/>
      <c r="B237" s="40"/>
      <c r="C237" s="64"/>
      <c r="D237" s="64"/>
      <c r="E237" s="64"/>
      <c r="F237" s="64"/>
      <c r="G237" s="64"/>
      <c r="H237" s="285"/>
      <c r="I237" s="287"/>
      <c r="J237" s="288"/>
    </row>
    <row r="238" spans="1:10" ht="11.1" customHeight="1" x14ac:dyDescent="0.3">
      <c r="A238" s="39" t="s">
        <v>22</v>
      </c>
      <c r="B238" s="137" t="s">
        <v>108</v>
      </c>
      <c r="C238" s="62">
        <f>58026.52</f>
        <v>58026.52</v>
      </c>
      <c r="D238" s="62">
        <v>447834.48</v>
      </c>
      <c r="E238" s="62">
        <f>C238+D238-G238</f>
        <v>451647.33</v>
      </c>
      <c r="F238" s="154"/>
      <c r="G238" s="62">
        <f>64922.08-10382.48-325.93</f>
        <v>54213.670000000006</v>
      </c>
      <c r="H238" s="285"/>
      <c r="I238" s="287"/>
      <c r="J238" s="288"/>
    </row>
    <row r="239" spans="1:10" ht="11.1" customHeight="1" x14ac:dyDescent="0.3">
      <c r="A239" s="39"/>
      <c r="B239" s="138" t="s">
        <v>37</v>
      </c>
      <c r="C239" s="62">
        <f>D239/12</f>
        <v>806.41916666666668</v>
      </c>
      <c r="D239" s="62">
        <v>9677.0300000000007</v>
      </c>
      <c r="E239" s="62">
        <f>C239+D239-G239</f>
        <v>9612.5164666666678</v>
      </c>
      <c r="F239" s="155"/>
      <c r="G239" s="62">
        <f>D239*9%</f>
        <v>870.93270000000007</v>
      </c>
      <c r="H239" s="285"/>
      <c r="I239" s="287"/>
      <c r="J239" s="288"/>
    </row>
    <row r="240" spans="1:10" ht="11.1" customHeight="1" x14ac:dyDescent="0.3">
      <c r="A240" s="41"/>
      <c r="B240" s="159" t="s">
        <v>23</v>
      </c>
      <c r="C240" s="66">
        <f>SUM(C238:C239)</f>
        <v>58832.939166666663</v>
      </c>
      <c r="D240" s="66">
        <f>SUM(D238:D239)</f>
        <v>457511.51</v>
      </c>
      <c r="E240" s="66">
        <f>SUM(E238:E239)</f>
        <v>461259.84646666667</v>
      </c>
      <c r="F240" s="67">
        <v>722163.26</v>
      </c>
      <c r="G240" s="66">
        <f>SUM(G238:G239)</f>
        <v>55084.602700000003</v>
      </c>
      <c r="H240" s="285"/>
      <c r="I240" s="287"/>
      <c r="J240" s="288"/>
    </row>
    <row r="241" spans="1:10" ht="11.1" customHeight="1" x14ac:dyDescent="0.3">
      <c r="A241" s="81"/>
      <c r="B241" s="82" t="s">
        <v>74</v>
      </c>
      <c r="C241" s="90">
        <f>C240+C236+C234</f>
        <v>197234.98499999999</v>
      </c>
      <c r="D241" s="90">
        <f>D240+D236+D234</f>
        <v>1832463.48</v>
      </c>
      <c r="E241" s="90">
        <f>E240+E236+E234</f>
        <v>1805059.4187999999</v>
      </c>
      <c r="F241" s="90">
        <f>F240+F236+F234</f>
        <v>2097644.7199999997</v>
      </c>
      <c r="G241" s="90">
        <f>G240+G236+G234</f>
        <v>224639.04620000001</v>
      </c>
      <c r="H241" s="285"/>
      <c r="I241" s="287"/>
      <c r="J241" s="288"/>
    </row>
    <row r="242" spans="1:10" ht="11.1" customHeight="1" x14ac:dyDescent="0.3">
      <c r="A242" s="130"/>
      <c r="B242" s="36"/>
      <c r="C242" s="30"/>
      <c r="D242" s="36"/>
      <c r="E242" s="36"/>
      <c r="F242" s="36"/>
      <c r="G242" s="44"/>
      <c r="H242" s="285"/>
      <c r="I242" s="287"/>
      <c r="J242" s="288"/>
    </row>
    <row r="243" spans="1:10" ht="11.1" customHeight="1" x14ac:dyDescent="0.3">
      <c r="A243" s="318" t="s">
        <v>18</v>
      </c>
      <c r="B243" s="319"/>
      <c r="C243" s="319"/>
      <c r="D243" s="319"/>
      <c r="E243" s="319"/>
      <c r="F243" s="319"/>
      <c r="G243" s="45"/>
      <c r="H243" s="285"/>
      <c r="I243" s="287"/>
      <c r="J243" s="288"/>
    </row>
    <row r="244" spans="1:10" ht="11.1" customHeight="1" x14ac:dyDescent="0.3">
      <c r="A244" s="6"/>
      <c r="B244" s="11"/>
      <c r="C244" s="29" t="s">
        <v>19</v>
      </c>
      <c r="D244" s="29"/>
      <c r="E244" s="29"/>
      <c r="F244" s="31"/>
      <c r="G244" s="29" t="s">
        <v>19</v>
      </c>
      <c r="H244" s="285"/>
      <c r="I244" s="287"/>
      <c r="J244" s="288"/>
    </row>
    <row r="245" spans="1:10" ht="11.1" customHeight="1" x14ac:dyDescent="0.3">
      <c r="A245" s="1" t="s">
        <v>15</v>
      </c>
      <c r="B245" s="2" t="s">
        <v>1</v>
      </c>
      <c r="C245" s="24" t="s">
        <v>28</v>
      </c>
      <c r="D245" s="24" t="s">
        <v>2</v>
      </c>
      <c r="E245" s="24" t="s">
        <v>16</v>
      </c>
      <c r="F245" s="32" t="s">
        <v>27</v>
      </c>
      <c r="G245" s="24" t="s">
        <v>28</v>
      </c>
      <c r="H245" s="285"/>
      <c r="I245" s="287"/>
      <c r="J245" s="288"/>
    </row>
    <row r="246" spans="1:10" ht="11.1" customHeight="1" x14ac:dyDescent="0.3">
      <c r="A246" s="1" t="s">
        <v>0</v>
      </c>
      <c r="B246" s="2"/>
      <c r="C246" s="33" t="s">
        <v>24</v>
      </c>
      <c r="D246" s="33"/>
      <c r="E246" s="34"/>
      <c r="F246" s="35"/>
      <c r="G246" s="33" t="s">
        <v>30</v>
      </c>
      <c r="H246" s="285"/>
      <c r="I246" s="287"/>
      <c r="J246" s="288"/>
    </row>
    <row r="247" spans="1:10" ht="11.1" customHeight="1" x14ac:dyDescent="0.3">
      <c r="A247" s="47" t="s">
        <v>20</v>
      </c>
      <c r="B247" s="143" t="s">
        <v>21</v>
      </c>
      <c r="C247" s="38"/>
      <c r="D247" s="38"/>
      <c r="E247" s="38"/>
      <c r="F247" s="38"/>
      <c r="G247" s="38"/>
      <c r="H247" s="285"/>
      <c r="I247" s="287"/>
      <c r="J247" s="288"/>
    </row>
    <row r="248" spans="1:10" ht="11.1" customHeight="1" x14ac:dyDescent="0.3">
      <c r="A248" s="48"/>
      <c r="B248" s="40" t="s">
        <v>104</v>
      </c>
      <c r="C248" s="53">
        <v>200014.39</v>
      </c>
      <c r="D248" s="5">
        <v>1620735.24</v>
      </c>
      <c r="E248" s="56">
        <f>C248+D248-G248</f>
        <v>1581316.5099999998</v>
      </c>
      <c r="F248" s="262"/>
      <c r="G248" s="53">
        <v>239433.12</v>
      </c>
      <c r="H248" s="285"/>
      <c r="I248" s="287"/>
      <c r="J248" s="288"/>
    </row>
    <row r="249" spans="1:10" ht="11.1" customHeight="1" x14ac:dyDescent="0.3">
      <c r="A249" s="39"/>
      <c r="B249" s="138" t="s">
        <v>117</v>
      </c>
      <c r="C249" s="54">
        <f>D249/12</f>
        <v>2475.4741666666664</v>
      </c>
      <c r="D249" s="5">
        <v>29705.69</v>
      </c>
      <c r="E249" s="113">
        <f>C249+D249-G249</f>
        <v>29507.652066666666</v>
      </c>
      <c r="F249" s="118"/>
      <c r="G249" s="54">
        <f>D249*9%</f>
        <v>2673.5120999999999</v>
      </c>
      <c r="H249" s="285"/>
      <c r="I249" s="287"/>
      <c r="J249" s="288"/>
    </row>
    <row r="250" spans="1:10" ht="11.1" customHeight="1" x14ac:dyDescent="0.3">
      <c r="A250" s="39"/>
      <c r="B250" s="138"/>
      <c r="C250" s="85">
        <f>SUM(C248:C249)</f>
        <v>202489.86416666667</v>
      </c>
      <c r="D250" s="85">
        <f>SUM(D248:D249)</f>
        <v>1650440.93</v>
      </c>
      <c r="E250" s="85">
        <f>SUM(E248:E249)</f>
        <v>1610824.1620666664</v>
      </c>
      <c r="F250" s="119">
        <f>1584816.85+13427.04</f>
        <v>1598243.8900000001</v>
      </c>
      <c r="G250" s="85">
        <f>SUM(G248:G249)</f>
        <v>242106.63209999999</v>
      </c>
      <c r="H250" s="285"/>
      <c r="I250" s="287"/>
      <c r="J250" s="288"/>
    </row>
    <row r="251" spans="1:10" ht="11.1" customHeight="1" x14ac:dyDescent="0.3">
      <c r="A251" s="39"/>
      <c r="B251" s="138"/>
      <c r="C251" s="83"/>
      <c r="D251" s="5"/>
      <c r="E251" s="84"/>
      <c r="F251" s="122"/>
      <c r="G251" s="83"/>
      <c r="H251" s="285"/>
      <c r="I251" s="287"/>
      <c r="J251" s="288"/>
    </row>
    <row r="252" spans="1:10" ht="11.1" customHeight="1" x14ac:dyDescent="0.3">
      <c r="A252" s="49"/>
      <c r="B252" s="40" t="s">
        <v>107</v>
      </c>
      <c r="C252" s="56">
        <f>68898.18+19181.74+8649.58</f>
        <v>96729.5</v>
      </c>
      <c r="D252" s="5">
        <v>786563.24</v>
      </c>
      <c r="E252" s="56">
        <f>C252+D252-G252</f>
        <v>758597.85</v>
      </c>
      <c r="F252" s="263"/>
      <c r="G252" s="56">
        <f>100751.73+18162.37+5780.79</f>
        <v>124694.88999999998</v>
      </c>
      <c r="H252" s="285"/>
      <c r="I252" s="287"/>
      <c r="J252" s="288"/>
    </row>
    <row r="253" spans="1:10" ht="11.1" customHeight="1" x14ac:dyDescent="0.3">
      <c r="A253" s="49"/>
      <c r="B253" s="138" t="s">
        <v>117</v>
      </c>
      <c r="C253" s="113">
        <f>D253/12</f>
        <v>177.23249999999999</v>
      </c>
      <c r="D253" s="5">
        <v>2126.79</v>
      </c>
      <c r="E253" s="113">
        <f>C253+D253-G253</f>
        <v>2112.6114000000002</v>
      </c>
      <c r="F253" s="123"/>
      <c r="G253" s="113">
        <f>D253*9%</f>
        <v>191.41109999999998</v>
      </c>
      <c r="H253" s="285"/>
      <c r="I253" s="287"/>
      <c r="J253" s="288"/>
    </row>
    <row r="254" spans="1:10" ht="11.1" customHeight="1" x14ac:dyDescent="0.3">
      <c r="A254" s="49"/>
      <c r="B254" s="135" t="s">
        <v>23</v>
      </c>
      <c r="C254" s="50">
        <f>SUM(C252:C253)</f>
        <v>96906.732499999998</v>
      </c>
      <c r="D254" s="50">
        <f>SUM(D252:D253)</f>
        <v>788690.03</v>
      </c>
      <c r="E254" s="50">
        <f>SUM(E252:E253)</f>
        <v>760710.46140000003</v>
      </c>
      <c r="F254" s="119">
        <f>168181.25+645143.49</f>
        <v>813324.74</v>
      </c>
      <c r="G254" s="50">
        <f>SUM(G252:G253)</f>
        <v>124886.30109999998</v>
      </c>
      <c r="H254" s="285"/>
      <c r="I254" s="287"/>
      <c r="J254" s="288"/>
    </row>
    <row r="255" spans="1:10" ht="11.1" customHeight="1" x14ac:dyDescent="0.3">
      <c r="A255" s="101" t="s">
        <v>26</v>
      </c>
      <c r="B255" s="137" t="s">
        <v>29</v>
      </c>
      <c r="C255" s="5"/>
      <c r="D255" s="5"/>
      <c r="E255" s="5"/>
      <c r="F255" s="5"/>
      <c r="G255" s="5"/>
      <c r="H255" s="285"/>
      <c r="I255" s="287"/>
      <c r="J255" s="288"/>
    </row>
    <row r="256" spans="1:10" ht="11.1" customHeight="1" x14ac:dyDescent="0.3">
      <c r="A256" s="101"/>
      <c r="B256" s="40" t="s">
        <v>31</v>
      </c>
      <c r="C256" s="43">
        <f>32737.08+31490.76</f>
        <v>64227.839999999997</v>
      </c>
      <c r="D256" s="5">
        <f>260168.86+243478.28</f>
        <v>503647.14</v>
      </c>
      <c r="E256" s="5">
        <f>C256+D256-G256</f>
        <v>485554.57999999996</v>
      </c>
      <c r="F256" s="5"/>
      <c r="G256" s="5">
        <f>42619.34+39701.06</f>
        <v>82320.399999999994</v>
      </c>
      <c r="H256" s="285"/>
      <c r="I256" s="287"/>
      <c r="J256" s="288"/>
    </row>
    <row r="257" spans="1:10" ht="11.1" customHeight="1" x14ac:dyDescent="0.3">
      <c r="A257" s="39"/>
      <c r="B257" s="40" t="s">
        <v>32</v>
      </c>
      <c r="C257" s="43">
        <f>D257/12</f>
        <v>280.85500000000002</v>
      </c>
      <c r="D257" s="5">
        <v>3370.26</v>
      </c>
      <c r="E257" s="5">
        <f>C257+D257-G257</f>
        <v>3347.7916000000005</v>
      </c>
      <c r="F257" s="5"/>
      <c r="G257" s="5">
        <f>D257*9%</f>
        <v>303.32339999999999</v>
      </c>
      <c r="H257" s="285"/>
      <c r="I257" s="287"/>
      <c r="J257" s="288"/>
    </row>
    <row r="258" spans="1:10" ht="11.1" customHeight="1" x14ac:dyDescent="0.3">
      <c r="A258" s="39"/>
      <c r="B258" s="135" t="s">
        <v>23</v>
      </c>
      <c r="C258" s="58">
        <f>SUM(C256:C257)</f>
        <v>64508.695</v>
      </c>
      <c r="D258" s="50">
        <f>SUM(D256:D257)</f>
        <v>507017.4</v>
      </c>
      <c r="E258" s="50">
        <f>SUM(E256:E257)</f>
        <v>488902.37159999995</v>
      </c>
      <c r="F258" s="50">
        <f>D258</f>
        <v>507017.4</v>
      </c>
      <c r="G258" s="264">
        <f>SUM(G256:G257)</f>
        <v>82623.723399999988</v>
      </c>
      <c r="H258" s="285"/>
      <c r="I258" s="287"/>
      <c r="J258" s="288"/>
    </row>
    <row r="259" spans="1:10" ht="11.1" customHeight="1" x14ac:dyDescent="0.3">
      <c r="A259" s="265"/>
      <c r="B259" s="115"/>
      <c r="C259" s="5"/>
      <c r="D259" s="13"/>
      <c r="E259" s="5"/>
      <c r="F259" s="5"/>
      <c r="G259" s="5"/>
      <c r="H259" s="285"/>
      <c r="I259" s="287"/>
      <c r="J259" s="288"/>
    </row>
    <row r="260" spans="1:10" ht="11.1" customHeight="1" x14ac:dyDescent="0.3">
      <c r="A260" s="39" t="s">
        <v>22</v>
      </c>
      <c r="B260" s="145" t="s">
        <v>122</v>
      </c>
      <c r="C260" s="5">
        <v>26138.03</v>
      </c>
      <c r="D260" s="13">
        <v>256942.02</v>
      </c>
      <c r="E260" s="5">
        <f>C260+D260-G260</f>
        <v>251406.77</v>
      </c>
      <c r="F260" s="5"/>
      <c r="G260" s="5">
        <v>31673.279999999999</v>
      </c>
      <c r="H260" s="285"/>
      <c r="I260" s="287"/>
      <c r="J260" s="288"/>
    </row>
    <row r="261" spans="1:10" ht="11.1" customHeight="1" x14ac:dyDescent="0.3">
      <c r="A261" s="16"/>
      <c r="B261" s="282" t="s">
        <v>117</v>
      </c>
      <c r="C261" s="17">
        <f>D261/12</f>
        <v>392.49</v>
      </c>
      <c r="D261" s="107">
        <v>4709.88</v>
      </c>
      <c r="E261" s="17">
        <f>C261+D261-G261</f>
        <v>4678.4808000000003</v>
      </c>
      <c r="F261" s="17"/>
      <c r="G261" s="17">
        <f>D261*9%</f>
        <v>423.88920000000002</v>
      </c>
      <c r="H261" s="285"/>
      <c r="I261" s="287"/>
      <c r="J261" s="288"/>
    </row>
    <row r="262" spans="1:10" ht="11.1" customHeight="1" x14ac:dyDescent="0.3">
      <c r="A262" s="16"/>
      <c r="B262" s="135" t="s">
        <v>23</v>
      </c>
      <c r="C262" s="7">
        <f>SUM(C260:C261)</f>
        <v>26530.52</v>
      </c>
      <c r="D262" s="7">
        <f t="shared" ref="D262:G262" si="7">SUM(D260:D261)</f>
        <v>261651.9</v>
      </c>
      <c r="E262" s="7">
        <f t="shared" si="7"/>
        <v>256085.25079999998</v>
      </c>
      <c r="F262" s="7">
        <f>D262</f>
        <v>261651.9</v>
      </c>
      <c r="G262" s="7">
        <f t="shared" si="7"/>
        <v>32097.1692</v>
      </c>
      <c r="H262" s="285"/>
      <c r="I262" s="287"/>
      <c r="J262" s="288"/>
    </row>
    <row r="263" spans="1:10" ht="11.1" customHeight="1" x14ac:dyDescent="0.3">
      <c r="A263" s="16"/>
      <c r="B263" s="201"/>
      <c r="C263" s="17"/>
      <c r="D263" s="107"/>
      <c r="E263" s="17"/>
      <c r="F263" s="17"/>
      <c r="G263" s="17"/>
      <c r="H263" s="285"/>
      <c r="I263" s="287"/>
      <c r="J263" s="288"/>
    </row>
    <row r="264" spans="1:10" ht="11.1" customHeight="1" x14ac:dyDescent="0.3">
      <c r="A264" s="93"/>
      <c r="B264" s="94" t="s">
        <v>74</v>
      </c>
      <c r="C264" s="91">
        <f>C262+C258+C254+C250</f>
        <v>390435.81166666665</v>
      </c>
      <c r="D264" s="91">
        <f t="shared" ref="D264:G264" si="8">D262+D258+D254+D250</f>
        <v>3207800.26</v>
      </c>
      <c r="E264" s="91">
        <f t="shared" si="8"/>
        <v>3116522.2458666665</v>
      </c>
      <c r="F264" s="91">
        <f t="shared" si="8"/>
        <v>3180237.93</v>
      </c>
      <c r="G264" s="91">
        <f t="shared" si="8"/>
        <v>481713.82579999999</v>
      </c>
      <c r="H264" s="285"/>
      <c r="I264" s="287"/>
      <c r="J264" s="288"/>
    </row>
    <row r="265" spans="1:10" ht="11.1" customHeight="1" x14ac:dyDescent="0.3">
      <c r="A265" s="124"/>
      <c r="B265" s="125"/>
      <c r="C265" s="126"/>
      <c r="D265" s="126"/>
      <c r="E265" s="126"/>
      <c r="F265" s="126"/>
      <c r="G265" s="126"/>
      <c r="H265" s="285"/>
      <c r="I265" s="287"/>
      <c r="J265" s="288"/>
    </row>
    <row r="266" spans="1:10" ht="11.1" customHeight="1" x14ac:dyDescent="0.3">
      <c r="A266" s="305" t="s">
        <v>6</v>
      </c>
      <c r="B266" s="305"/>
      <c r="C266" s="305"/>
      <c r="D266" s="305"/>
      <c r="E266" s="305"/>
      <c r="F266" s="305"/>
      <c r="G266" s="305"/>
      <c r="H266" s="285"/>
      <c r="I266" s="287"/>
      <c r="J266" s="288"/>
    </row>
    <row r="267" spans="1:10" ht="11.1" customHeight="1" x14ac:dyDescent="0.3">
      <c r="A267" s="305" t="s">
        <v>35</v>
      </c>
      <c r="B267" s="305"/>
      <c r="C267" s="305"/>
      <c r="D267" s="305"/>
      <c r="E267" s="305"/>
      <c r="F267" s="305"/>
      <c r="G267" s="305"/>
      <c r="H267" s="285"/>
      <c r="I267" s="287"/>
      <c r="J267" s="288"/>
    </row>
    <row r="268" spans="1:10" ht="11.1" customHeight="1" x14ac:dyDescent="0.3">
      <c r="A268" s="311" t="s">
        <v>93</v>
      </c>
      <c r="B268" s="311"/>
      <c r="C268" s="311"/>
      <c r="D268" s="311"/>
      <c r="E268" s="311"/>
      <c r="F268" s="311"/>
      <c r="G268" s="311"/>
      <c r="H268" s="285"/>
      <c r="I268" s="287"/>
      <c r="J268" s="288"/>
    </row>
    <row r="269" spans="1:10" ht="11.1" customHeight="1" x14ac:dyDescent="0.3">
      <c r="A269" s="339" t="s">
        <v>42</v>
      </c>
      <c r="B269" s="340"/>
      <c r="C269" s="340"/>
      <c r="D269" s="340"/>
      <c r="E269" s="340"/>
      <c r="F269" s="340"/>
      <c r="G269" s="341"/>
      <c r="H269" s="285"/>
      <c r="I269" s="287"/>
      <c r="J269" s="288"/>
    </row>
    <row r="270" spans="1:10" ht="11.1" customHeight="1" x14ac:dyDescent="0.3">
      <c r="A270" s="25"/>
      <c r="B270" s="292" t="s">
        <v>3</v>
      </c>
      <c r="C270" s="293"/>
      <c r="D270" s="293"/>
      <c r="E270" s="293"/>
      <c r="F270" s="293"/>
      <c r="G270" s="294"/>
      <c r="H270" s="285"/>
      <c r="I270" s="287"/>
      <c r="J270" s="288"/>
    </row>
    <row r="271" spans="1:10" ht="11.1" customHeight="1" x14ac:dyDescent="0.3">
      <c r="A271" s="96">
        <v>1</v>
      </c>
      <c r="B271" s="323" t="s">
        <v>4</v>
      </c>
      <c r="C271" s="324"/>
      <c r="D271" s="324"/>
      <c r="E271" s="325"/>
      <c r="F271" s="326">
        <v>1988.1989000000001</v>
      </c>
      <c r="G271" s="327"/>
      <c r="H271" s="285"/>
      <c r="I271" s="287"/>
      <c r="J271" s="288"/>
    </row>
    <row r="272" spans="1:10" ht="11.1" customHeight="1" x14ac:dyDescent="0.3">
      <c r="A272" s="97">
        <v>2</v>
      </c>
      <c r="B272" s="328" t="s">
        <v>12</v>
      </c>
      <c r="C272" s="329"/>
      <c r="D272" s="329"/>
      <c r="E272" s="330"/>
      <c r="F272" s="331">
        <v>10</v>
      </c>
      <c r="G272" s="332"/>
      <c r="H272" s="285"/>
      <c r="I272" s="287"/>
      <c r="J272" s="288"/>
    </row>
    <row r="273" spans="1:10" ht="11.1" customHeight="1" x14ac:dyDescent="0.3">
      <c r="A273" s="97">
        <v>3</v>
      </c>
      <c r="B273" s="328" t="s">
        <v>14</v>
      </c>
      <c r="C273" s="329"/>
      <c r="D273" s="329"/>
      <c r="E273" s="330"/>
      <c r="F273" s="331">
        <v>8</v>
      </c>
      <c r="G273" s="332"/>
      <c r="H273" s="285"/>
      <c r="I273" s="287"/>
      <c r="J273" s="288"/>
    </row>
    <row r="274" spans="1:10" ht="11.1" customHeight="1" x14ac:dyDescent="0.3">
      <c r="A274" s="97">
        <v>4</v>
      </c>
      <c r="B274" s="328" t="s">
        <v>94</v>
      </c>
      <c r="C274" s="329"/>
      <c r="D274" s="329"/>
      <c r="E274" s="330"/>
      <c r="F274" s="331">
        <v>302</v>
      </c>
      <c r="G274" s="332"/>
      <c r="H274" s="285"/>
      <c r="I274" s="287"/>
      <c r="J274" s="288"/>
    </row>
    <row r="275" spans="1:10" ht="11.1" customHeight="1" x14ac:dyDescent="0.3">
      <c r="A275" s="97">
        <v>5</v>
      </c>
      <c r="B275" s="328" t="s">
        <v>10</v>
      </c>
      <c r="C275" s="329"/>
      <c r="D275" s="329"/>
      <c r="E275" s="330"/>
      <c r="F275" s="331">
        <v>2844.2</v>
      </c>
      <c r="G275" s="332"/>
      <c r="H275" s="285"/>
      <c r="I275" s="287"/>
      <c r="J275" s="288"/>
    </row>
    <row r="276" spans="1:10" ht="11.1" customHeight="1" x14ac:dyDescent="0.3">
      <c r="A276" s="97">
        <v>6</v>
      </c>
      <c r="B276" s="328" t="s">
        <v>11</v>
      </c>
      <c r="C276" s="329"/>
      <c r="D276" s="329"/>
      <c r="E276" s="330"/>
      <c r="F276" s="347">
        <v>18287.400000000001</v>
      </c>
      <c r="G276" s="348"/>
      <c r="H276" s="285"/>
      <c r="I276" s="287"/>
      <c r="J276" s="288"/>
    </row>
    <row r="277" spans="1:10" ht="11.1" customHeight="1" x14ac:dyDescent="0.3">
      <c r="A277" s="98">
        <v>7</v>
      </c>
      <c r="B277" s="349" t="s">
        <v>9</v>
      </c>
      <c r="C277" s="350"/>
      <c r="D277" s="350"/>
      <c r="E277" s="351"/>
      <c r="F277" s="352">
        <v>420</v>
      </c>
      <c r="G277" s="353"/>
      <c r="H277" s="285"/>
      <c r="I277" s="287"/>
      <c r="J277" s="288"/>
    </row>
    <row r="278" spans="1:10" ht="11.1" customHeight="1" x14ac:dyDescent="0.3">
      <c r="A278" s="333"/>
      <c r="B278" s="337"/>
      <c r="C278" s="337"/>
      <c r="D278" s="337"/>
      <c r="E278" s="337"/>
      <c r="F278" s="337"/>
      <c r="G278" s="334"/>
      <c r="H278" s="285"/>
      <c r="I278" s="287"/>
      <c r="J278" s="288"/>
    </row>
    <row r="279" spans="1:10" ht="11.1" customHeight="1" x14ac:dyDescent="0.3">
      <c r="A279" s="315" t="s">
        <v>99</v>
      </c>
      <c r="B279" s="316"/>
      <c r="C279" s="316"/>
      <c r="D279" s="316"/>
      <c r="E279" s="316"/>
      <c r="F279" s="316"/>
      <c r="G279" s="317"/>
      <c r="H279" s="285"/>
      <c r="I279" s="287"/>
      <c r="J279" s="288"/>
    </row>
    <row r="280" spans="1:10" ht="11.1" customHeight="1" x14ac:dyDescent="0.3">
      <c r="A280" s="29"/>
      <c r="B280" s="30"/>
      <c r="C280" s="29" t="s">
        <v>19</v>
      </c>
      <c r="D280" s="29"/>
      <c r="E280" s="29"/>
      <c r="F280" s="31"/>
      <c r="G280" s="29" t="s">
        <v>19</v>
      </c>
      <c r="H280" s="285"/>
      <c r="I280" s="287"/>
      <c r="J280" s="288"/>
    </row>
    <row r="281" spans="1:10" ht="11.1" customHeight="1" x14ac:dyDescent="0.3">
      <c r="A281" s="24"/>
      <c r="B281" s="2" t="s">
        <v>1</v>
      </c>
      <c r="C281" s="24" t="s">
        <v>28</v>
      </c>
      <c r="D281" s="24" t="s">
        <v>2</v>
      </c>
      <c r="E281" s="24" t="s">
        <v>16</v>
      </c>
      <c r="F281" s="32" t="s">
        <v>27</v>
      </c>
      <c r="G281" s="24" t="s">
        <v>28</v>
      </c>
      <c r="H281" s="285"/>
      <c r="I281" s="287"/>
      <c r="J281" s="288"/>
    </row>
    <row r="282" spans="1:10" ht="11.1" customHeight="1" x14ac:dyDescent="0.3">
      <c r="A282" s="33"/>
      <c r="B282" s="129"/>
      <c r="C282" s="33" t="s">
        <v>24</v>
      </c>
      <c r="D282" s="33"/>
      <c r="E282" s="34"/>
      <c r="F282" s="35"/>
      <c r="G282" s="33" t="s">
        <v>30</v>
      </c>
      <c r="H282" s="285"/>
      <c r="I282" s="287"/>
      <c r="J282" s="288"/>
    </row>
    <row r="283" spans="1:10" ht="11.1" customHeight="1" x14ac:dyDescent="0.3">
      <c r="A283" s="37" t="s">
        <v>20</v>
      </c>
      <c r="B283" s="131" t="s">
        <v>33</v>
      </c>
      <c r="C283" s="42"/>
      <c r="D283" s="42"/>
      <c r="E283" s="38"/>
      <c r="F283" s="38"/>
      <c r="G283" s="38"/>
      <c r="H283" s="285"/>
      <c r="I283" s="287"/>
      <c r="J283" s="288"/>
    </row>
    <row r="284" spans="1:10" ht="11.1" customHeight="1" x14ac:dyDescent="0.3">
      <c r="A284" s="101"/>
      <c r="B284" s="132" t="s">
        <v>7</v>
      </c>
      <c r="C284" s="62">
        <f>523218.16-0</f>
        <v>523218.16</v>
      </c>
      <c r="D284" s="62">
        <v>1863744.24</v>
      </c>
      <c r="E284" s="62">
        <f>C284+D284-G284</f>
        <v>2138506.52</v>
      </c>
      <c r="F284" s="62"/>
      <c r="G284" s="62">
        <f>261069.92-12614.04</f>
        <v>248455.88</v>
      </c>
      <c r="H284" s="285"/>
      <c r="I284" s="287"/>
      <c r="J284" s="288"/>
    </row>
    <row r="285" spans="1:10" ht="11.1" customHeight="1" x14ac:dyDescent="0.3">
      <c r="A285" s="101"/>
      <c r="B285" s="152" t="s">
        <v>8</v>
      </c>
      <c r="C285" s="68">
        <f>D285/12</f>
        <v>3040.7999999999997</v>
      </c>
      <c r="D285" s="176">
        <v>36489.599999999999</v>
      </c>
      <c r="E285" s="62">
        <f>C285+D285-G285</f>
        <v>36246.336000000003</v>
      </c>
      <c r="F285" s="62"/>
      <c r="G285" s="62">
        <f>D285*9%</f>
        <v>3284.0639999999999</v>
      </c>
      <c r="H285" s="285"/>
      <c r="I285" s="287"/>
      <c r="J285" s="288"/>
    </row>
    <row r="286" spans="1:10" ht="11.1" customHeight="1" x14ac:dyDescent="0.3">
      <c r="A286" s="101"/>
      <c r="B286" s="132" t="s">
        <v>17</v>
      </c>
      <c r="C286" s="86">
        <f>D286/12</f>
        <v>1271.6666666666667</v>
      </c>
      <c r="D286" s="62">
        <v>15260</v>
      </c>
      <c r="E286" s="62">
        <f>C286+D286-G286</f>
        <v>15158.266666666668</v>
      </c>
      <c r="F286" s="62"/>
      <c r="G286" s="62">
        <f>D286*9%</f>
        <v>1373.3999999999999</v>
      </c>
      <c r="H286" s="285"/>
      <c r="I286" s="287"/>
      <c r="J286" s="288"/>
    </row>
    <row r="287" spans="1:10" ht="11.1" customHeight="1" x14ac:dyDescent="0.3">
      <c r="A287" s="101"/>
      <c r="B287" s="135" t="s">
        <v>23</v>
      </c>
      <c r="C287" s="63">
        <f>SUM(C284:C286)</f>
        <v>527530.62666666659</v>
      </c>
      <c r="D287" s="63">
        <f>SUM(D284:D286)</f>
        <v>1915493.84</v>
      </c>
      <c r="E287" s="63">
        <f>SUM(E284:E286)</f>
        <v>2189911.1226666667</v>
      </c>
      <c r="F287" s="63">
        <f>D287-195.44</f>
        <v>1915298.4000000001</v>
      </c>
      <c r="G287" s="63">
        <f>SUM(G284:G286)</f>
        <v>253113.34400000001</v>
      </c>
      <c r="H287" s="285"/>
      <c r="I287" s="287"/>
      <c r="J287" s="288"/>
    </row>
    <row r="288" spans="1:10" ht="11.1" customHeight="1" x14ac:dyDescent="0.3">
      <c r="A288" s="101"/>
      <c r="B288" s="135"/>
      <c r="C288" s="68"/>
      <c r="D288" s="62"/>
      <c r="E288" s="62"/>
      <c r="F288" s="62"/>
      <c r="G288" s="62"/>
      <c r="H288" s="285"/>
      <c r="I288" s="287"/>
      <c r="J288" s="288"/>
    </row>
    <row r="289" spans="1:10" ht="11.1" customHeight="1" x14ac:dyDescent="0.3">
      <c r="A289" s="39">
        <v>2</v>
      </c>
      <c r="B289" s="152" t="s">
        <v>34</v>
      </c>
      <c r="C289" s="62">
        <v>0</v>
      </c>
      <c r="D289" s="63">
        <v>300643.76</v>
      </c>
      <c r="E289" s="63">
        <f>D289-G289</f>
        <v>281659.43</v>
      </c>
      <c r="F289" s="63">
        <f>D289</f>
        <v>300643.76</v>
      </c>
      <c r="G289" s="63">
        <f>12614.04+4990.46+1379.83</f>
        <v>18984.330000000002</v>
      </c>
      <c r="H289" s="285"/>
      <c r="I289" s="287"/>
      <c r="J289" s="288"/>
    </row>
    <row r="290" spans="1:10" ht="11.1" customHeight="1" x14ac:dyDescent="0.3">
      <c r="A290" s="40"/>
      <c r="B290" s="40"/>
      <c r="C290" s="64"/>
      <c r="D290" s="64"/>
      <c r="E290" s="64"/>
      <c r="F290" s="64"/>
      <c r="G290" s="64"/>
      <c r="H290" s="285"/>
      <c r="I290" s="287"/>
      <c r="J290" s="288"/>
    </row>
    <row r="291" spans="1:10" ht="11.1" customHeight="1" x14ac:dyDescent="0.3">
      <c r="A291" s="39" t="s">
        <v>22</v>
      </c>
      <c r="B291" s="137" t="s">
        <v>103</v>
      </c>
      <c r="C291" s="62">
        <f>226628.43</f>
        <v>226628.43</v>
      </c>
      <c r="D291" s="62">
        <v>764129.77</v>
      </c>
      <c r="E291" s="62">
        <f>C291+D291-G291</f>
        <v>890167.30999999994</v>
      </c>
      <c r="F291" s="154"/>
      <c r="G291" s="62">
        <f>106961.18-4990.46-1379.83</f>
        <v>100590.88999999998</v>
      </c>
      <c r="H291" s="285"/>
      <c r="I291" s="287"/>
      <c r="J291" s="288"/>
    </row>
    <row r="292" spans="1:10" ht="11.1" customHeight="1" x14ac:dyDescent="0.3">
      <c r="A292" s="39"/>
      <c r="B292" s="138" t="s">
        <v>37</v>
      </c>
      <c r="C292" s="62">
        <f>D292/12</f>
        <v>1656.2</v>
      </c>
      <c r="D292" s="62">
        <v>19874.400000000001</v>
      </c>
      <c r="E292" s="62">
        <f>C292+D292-G292</f>
        <v>19741.904000000002</v>
      </c>
      <c r="F292" s="155"/>
      <c r="G292" s="62">
        <f>D292*9%</f>
        <v>1788.6960000000001</v>
      </c>
      <c r="H292" s="285"/>
      <c r="I292" s="287"/>
      <c r="J292" s="288"/>
    </row>
    <row r="293" spans="1:10" ht="11.1" customHeight="1" x14ac:dyDescent="0.3">
      <c r="A293" s="41"/>
      <c r="B293" s="159" t="s">
        <v>23</v>
      </c>
      <c r="C293" s="66">
        <f>SUM(C291:C292)</f>
        <v>228284.63</v>
      </c>
      <c r="D293" s="66">
        <f>SUM(D291:D292)</f>
        <v>784004.17</v>
      </c>
      <c r="E293" s="66">
        <f>SUM(E291:E292)</f>
        <v>909909.21399999992</v>
      </c>
      <c r="F293" s="67">
        <v>441002.28</v>
      </c>
      <c r="G293" s="66">
        <f>SUM(G291:G292)</f>
        <v>102379.58599999998</v>
      </c>
      <c r="H293" s="285"/>
      <c r="I293" s="287"/>
      <c r="J293" s="288"/>
    </row>
    <row r="294" spans="1:10" ht="11.1" customHeight="1" x14ac:dyDescent="0.3">
      <c r="A294" s="81"/>
      <c r="B294" s="82" t="s">
        <v>74</v>
      </c>
      <c r="C294" s="90">
        <f>C293+C289+C287</f>
        <v>755815.2566666666</v>
      </c>
      <c r="D294" s="90">
        <f>D293+D289+D287</f>
        <v>3000141.7700000005</v>
      </c>
      <c r="E294" s="90">
        <f>E293+E289+E287</f>
        <v>3381479.7666666666</v>
      </c>
      <c r="F294" s="90">
        <f>F293+F289+F287</f>
        <v>2656944.4400000004</v>
      </c>
      <c r="G294" s="90">
        <f>G293+G289+G287</f>
        <v>374477.26</v>
      </c>
      <c r="H294" s="285"/>
      <c r="I294" s="287"/>
      <c r="J294" s="288"/>
    </row>
    <row r="295" spans="1:10" ht="11.1" customHeight="1" x14ac:dyDescent="0.3">
      <c r="A295" s="130"/>
      <c r="B295" s="36"/>
      <c r="C295" s="30"/>
      <c r="D295" s="36"/>
      <c r="E295" s="36"/>
      <c r="F295" s="36"/>
      <c r="G295" s="44"/>
      <c r="H295" s="285"/>
      <c r="I295" s="287"/>
      <c r="J295" s="288"/>
    </row>
    <row r="296" spans="1:10" ht="11.1" customHeight="1" x14ac:dyDescent="0.3">
      <c r="A296" s="318" t="s">
        <v>18</v>
      </c>
      <c r="B296" s="319"/>
      <c r="C296" s="319"/>
      <c r="D296" s="319"/>
      <c r="E296" s="319"/>
      <c r="F296" s="319"/>
      <c r="G296" s="45"/>
      <c r="H296" s="285"/>
      <c r="I296" s="287"/>
      <c r="J296" s="288"/>
    </row>
    <row r="297" spans="1:10" ht="11.1" customHeight="1" x14ac:dyDescent="0.3">
      <c r="A297" s="1"/>
      <c r="B297" s="2"/>
      <c r="C297" s="29" t="s">
        <v>19</v>
      </c>
      <c r="D297" s="29"/>
      <c r="E297" s="29"/>
      <c r="F297" s="31"/>
      <c r="G297" s="29" t="s">
        <v>19</v>
      </c>
      <c r="H297" s="285"/>
      <c r="I297" s="287"/>
      <c r="J297" s="288"/>
    </row>
    <row r="298" spans="1:10" ht="11.1" customHeight="1" x14ac:dyDescent="0.3">
      <c r="A298" s="1" t="s">
        <v>15</v>
      </c>
      <c r="B298" s="2" t="s">
        <v>1</v>
      </c>
      <c r="C298" s="24" t="s">
        <v>28</v>
      </c>
      <c r="D298" s="24" t="s">
        <v>2</v>
      </c>
      <c r="E298" s="24" t="s">
        <v>16</v>
      </c>
      <c r="F298" s="32" t="s">
        <v>27</v>
      </c>
      <c r="G298" s="24" t="s">
        <v>28</v>
      </c>
      <c r="H298" s="285"/>
      <c r="I298" s="287"/>
      <c r="J298" s="288"/>
    </row>
    <row r="299" spans="1:10" ht="11.1" customHeight="1" x14ac:dyDescent="0.3">
      <c r="A299" s="1" t="s">
        <v>0</v>
      </c>
      <c r="B299" s="2"/>
      <c r="C299" s="33" t="s">
        <v>24</v>
      </c>
      <c r="D299" s="33"/>
      <c r="E299" s="34"/>
      <c r="F299" s="35"/>
      <c r="G299" s="33" t="s">
        <v>30</v>
      </c>
      <c r="H299" s="285"/>
      <c r="I299" s="287"/>
      <c r="J299" s="288"/>
    </row>
    <row r="300" spans="1:10" ht="11.1" customHeight="1" x14ac:dyDescent="0.3">
      <c r="A300" s="47" t="s">
        <v>20</v>
      </c>
      <c r="B300" s="143" t="s">
        <v>21</v>
      </c>
      <c r="C300" s="38"/>
      <c r="D300" s="38"/>
      <c r="E300" s="38"/>
      <c r="F300" s="38"/>
      <c r="G300" s="38"/>
      <c r="H300" s="285"/>
      <c r="I300" s="287"/>
      <c r="J300" s="288"/>
    </row>
    <row r="301" spans="1:10" ht="11.1" customHeight="1" x14ac:dyDescent="0.3">
      <c r="A301" s="48"/>
      <c r="B301" s="40" t="s">
        <v>109</v>
      </c>
      <c r="C301" s="57">
        <v>783981.14</v>
      </c>
      <c r="D301" s="5">
        <v>2978305.74</v>
      </c>
      <c r="E301" s="52">
        <f>C301+D301-G301</f>
        <v>3404198.3100000005</v>
      </c>
      <c r="F301" s="148"/>
      <c r="G301" s="57">
        <f>358088.57</f>
        <v>358088.57</v>
      </c>
      <c r="H301" s="285"/>
      <c r="I301" s="287"/>
      <c r="J301" s="288"/>
    </row>
    <row r="302" spans="1:10" ht="11.1" customHeight="1" x14ac:dyDescent="0.3">
      <c r="A302" s="39"/>
      <c r="B302" s="138" t="s">
        <v>118</v>
      </c>
      <c r="C302" s="57">
        <f>D302/12</f>
        <v>5741.0666666666666</v>
      </c>
      <c r="D302" s="5">
        <v>68892.800000000003</v>
      </c>
      <c r="E302" s="20">
        <f>C302+D302-G302</f>
        <v>68433.51466666667</v>
      </c>
      <c r="F302" s="118"/>
      <c r="G302" s="57">
        <f>D302*9%</f>
        <v>6200.3519999999999</v>
      </c>
      <c r="H302" s="285"/>
      <c r="I302" s="287"/>
      <c r="J302" s="288"/>
    </row>
    <row r="303" spans="1:10" ht="11.1" customHeight="1" x14ac:dyDescent="0.3">
      <c r="A303" s="39"/>
      <c r="B303" s="135" t="s">
        <v>23</v>
      </c>
      <c r="C303" s="104">
        <f>SUM(C301:C302)</f>
        <v>789722.20666666667</v>
      </c>
      <c r="D303" s="50">
        <f>SUM(D301:D302)</f>
        <v>3047198.54</v>
      </c>
      <c r="E303" s="7">
        <f>SUM(E301:E302)</f>
        <v>3472631.8246666673</v>
      </c>
      <c r="F303" s="120">
        <f>2802074.34+34899.59</f>
        <v>2836973.9299999997</v>
      </c>
      <c r="G303" s="104">
        <f>SUM(G301:G302)</f>
        <v>364288.92200000002</v>
      </c>
      <c r="H303" s="285"/>
      <c r="I303" s="287"/>
      <c r="J303" s="288"/>
    </row>
    <row r="304" spans="1:10" ht="11.1" customHeight="1" x14ac:dyDescent="0.3">
      <c r="A304" s="39"/>
      <c r="B304" s="138"/>
      <c r="C304" s="57"/>
      <c r="D304" s="5"/>
      <c r="E304" s="17"/>
      <c r="F304" s="122"/>
      <c r="G304" s="57"/>
      <c r="H304" s="285"/>
      <c r="I304" s="287"/>
      <c r="J304" s="288"/>
    </row>
    <row r="305" spans="1:10" ht="11.1" customHeight="1" x14ac:dyDescent="0.3">
      <c r="A305" s="49"/>
      <c r="B305" s="40" t="s">
        <v>110</v>
      </c>
      <c r="C305" s="71">
        <f>371790.79+106776.49+56365.59</f>
        <v>534932.87</v>
      </c>
      <c r="D305" s="5">
        <v>1467441.7</v>
      </c>
      <c r="E305" s="52">
        <f>C305+D305-G305</f>
        <v>1720890.3399999999</v>
      </c>
      <c r="F305" s="165"/>
      <c r="G305" s="71">
        <f>214955.78+47043.58+19484.87</f>
        <v>281484.23</v>
      </c>
      <c r="H305" s="285"/>
      <c r="I305" s="287"/>
      <c r="J305" s="288"/>
    </row>
    <row r="306" spans="1:10" ht="11.1" customHeight="1" x14ac:dyDescent="0.3">
      <c r="A306" s="49"/>
      <c r="B306" s="138" t="s">
        <v>116</v>
      </c>
      <c r="C306" s="71">
        <f>D306/12</f>
        <v>2193.2649999999999</v>
      </c>
      <c r="D306" s="5">
        <v>26319.18</v>
      </c>
      <c r="E306" s="20">
        <f>C306+D306-G306</f>
        <v>26143.718799999999</v>
      </c>
      <c r="F306" s="166"/>
      <c r="G306" s="71">
        <f>D306*9%</f>
        <v>2368.7262000000001</v>
      </c>
      <c r="H306" s="285"/>
      <c r="I306" s="287"/>
      <c r="J306" s="288"/>
    </row>
    <row r="307" spans="1:10" ht="11.1" customHeight="1" x14ac:dyDescent="0.3">
      <c r="A307" s="49"/>
      <c r="B307" s="135" t="s">
        <v>23</v>
      </c>
      <c r="C307" s="50">
        <f>SUM(C305:C306)</f>
        <v>537126.13500000001</v>
      </c>
      <c r="D307" s="50">
        <f>SUM(D305:D306)</f>
        <v>1493760.88</v>
      </c>
      <c r="E307" s="50">
        <f>SUM(E305:E306)</f>
        <v>1747034.0587999998</v>
      </c>
      <c r="F307" s="120">
        <f>309000.29+1230564.17+778.8+1973.57</f>
        <v>1542316.83</v>
      </c>
      <c r="G307" s="50">
        <f>SUM(G305:G306)</f>
        <v>283852.95619999996</v>
      </c>
      <c r="H307" s="285"/>
      <c r="I307" s="287"/>
      <c r="J307" s="288"/>
    </row>
    <row r="308" spans="1:10" ht="11.1" customHeight="1" x14ac:dyDescent="0.3">
      <c r="A308" s="49"/>
      <c r="B308" s="152" t="s">
        <v>87</v>
      </c>
      <c r="C308" s="5"/>
      <c r="D308" s="14"/>
      <c r="E308" s="5"/>
      <c r="F308" s="14"/>
      <c r="G308" s="5"/>
      <c r="H308" s="285"/>
      <c r="I308" s="287"/>
      <c r="J308" s="288"/>
    </row>
    <row r="309" spans="1:10" ht="11.1" customHeight="1" x14ac:dyDescent="0.3">
      <c r="A309" s="101"/>
      <c r="B309" s="40" t="s">
        <v>31</v>
      </c>
      <c r="C309" s="43">
        <f>162372.71+156379.79</f>
        <v>318752.5</v>
      </c>
      <c r="D309" s="5">
        <f>421906.41+420496.86</f>
        <v>842403.27</v>
      </c>
      <c r="E309" s="5">
        <f>C309+D309-G309</f>
        <v>991401.72</v>
      </c>
      <c r="F309" s="5"/>
      <c r="G309" s="5">
        <f>85537.02+84217.03</f>
        <v>169754.05</v>
      </c>
      <c r="H309" s="285"/>
      <c r="I309" s="287"/>
      <c r="J309" s="288"/>
    </row>
    <row r="310" spans="1:10" ht="11.1" customHeight="1" x14ac:dyDescent="0.3">
      <c r="A310" s="39"/>
      <c r="B310" s="40" t="s">
        <v>32</v>
      </c>
      <c r="C310" s="43">
        <f>D310/12</f>
        <v>1684.0758333333333</v>
      </c>
      <c r="D310" s="14">
        <f>20208.91</f>
        <v>20208.91</v>
      </c>
      <c r="E310" s="14">
        <f>C310+D310-G310</f>
        <v>20074.183933333334</v>
      </c>
      <c r="F310" s="5"/>
      <c r="G310" s="5">
        <f>D310*9%</f>
        <v>1818.8018999999999</v>
      </c>
      <c r="H310" s="285"/>
      <c r="I310" s="287"/>
      <c r="J310" s="288"/>
    </row>
    <row r="311" spans="1:10" ht="11.1" customHeight="1" x14ac:dyDescent="0.3">
      <c r="A311" s="39"/>
      <c r="B311" s="135" t="s">
        <v>23</v>
      </c>
      <c r="C311" s="58">
        <f>SUM(C309:C310)</f>
        <v>320436.57583333331</v>
      </c>
      <c r="D311" s="50">
        <f>SUM(D309:D310)</f>
        <v>862612.18</v>
      </c>
      <c r="E311" s="50">
        <f>SUM(E309:E310)</f>
        <v>1011475.9039333333</v>
      </c>
      <c r="F311" s="50">
        <f>D311</f>
        <v>862612.18</v>
      </c>
      <c r="G311" s="50">
        <f>SUM(G309:G310)</f>
        <v>171572.85189999998</v>
      </c>
      <c r="H311" s="285"/>
      <c r="I311" s="287"/>
      <c r="J311" s="288"/>
    </row>
    <row r="312" spans="1:10" ht="11.1" customHeight="1" x14ac:dyDescent="0.3">
      <c r="A312" s="39"/>
      <c r="B312" s="177"/>
      <c r="C312" s="58"/>
      <c r="D312" s="78"/>
      <c r="E312" s="50"/>
      <c r="F312" s="50"/>
      <c r="G312" s="50"/>
      <c r="H312" s="285"/>
      <c r="I312" s="287"/>
      <c r="J312" s="288"/>
    </row>
    <row r="313" spans="1:10" ht="11.1" customHeight="1" x14ac:dyDescent="0.3">
      <c r="A313" s="127">
        <v>3</v>
      </c>
      <c r="B313" s="145" t="s">
        <v>123</v>
      </c>
      <c r="C313" s="5">
        <v>39573.949999999997</v>
      </c>
      <c r="D313" s="13">
        <v>170882.45</v>
      </c>
      <c r="E313" s="5">
        <f>C313+D313-G313</f>
        <v>193355.71000000002</v>
      </c>
      <c r="F313" s="5"/>
      <c r="G313" s="5">
        <f>17100.69</f>
        <v>17100.689999999999</v>
      </c>
      <c r="H313" s="285"/>
      <c r="I313" s="287"/>
      <c r="J313" s="288"/>
    </row>
    <row r="314" spans="1:10" ht="11.1" customHeight="1" x14ac:dyDescent="0.3">
      <c r="A314" s="240"/>
      <c r="B314" s="194" t="s">
        <v>117</v>
      </c>
      <c r="C314" s="52">
        <f>D314/12</f>
        <v>568.40166666666664</v>
      </c>
      <c r="D314" s="92">
        <v>6820.82</v>
      </c>
      <c r="E314" s="52">
        <f>C314+D314-G314</f>
        <v>6775.3478666666661</v>
      </c>
      <c r="F314" s="52"/>
      <c r="G314" s="52">
        <f>D314*9%</f>
        <v>613.87379999999996</v>
      </c>
      <c r="H314" s="285"/>
      <c r="I314" s="287"/>
      <c r="J314" s="288"/>
    </row>
    <row r="315" spans="1:10" ht="11.1" customHeight="1" x14ac:dyDescent="0.3">
      <c r="A315" s="240"/>
      <c r="B315" s="135" t="s">
        <v>23</v>
      </c>
      <c r="C315" s="80">
        <f>SUM(C313:C314)</f>
        <v>40142.351666666662</v>
      </c>
      <c r="D315" s="80">
        <f t="shared" ref="D315:G315" si="9">SUM(D313:D314)</f>
        <v>177703.27000000002</v>
      </c>
      <c r="E315" s="80">
        <f t="shared" si="9"/>
        <v>200131.0578666667</v>
      </c>
      <c r="F315" s="80">
        <f>D315</f>
        <v>177703.27000000002</v>
      </c>
      <c r="G315" s="80">
        <f t="shared" si="9"/>
        <v>17714.5638</v>
      </c>
      <c r="H315" s="285"/>
      <c r="I315" s="287"/>
      <c r="J315" s="288"/>
    </row>
    <row r="316" spans="1:10" ht="11.1" customHeight="1" x14ac:dyDescent="0.3">
      <c r="A316" s="99"/>
      <c r="B316" s="178" t="s">
        <v>74</v>
      </c>
      <c r="C316" s="179">
        <f>C315+C311+C307+C303</f>
        <v>1687427.2691666665</v>
      </c>
      <c r="D316" s="179">
        <f t="shared" ref="D316:G316" si="10">D315+D311+D307+D303</f>
        <v>5581274.8700000001</v>
      </c>
      <c r="E316" s="179">
        <f t="shared" si="10"/>
        <v>6431272.8452666672</v>
      </c>
      <c r="F316" s="179">
        <f t="shared" si="10"/>
        <v>5419606.21</v>
      </c>
      <c r="G316" s="179">
        <f t="shared" si="10"/>
        <v>837429.29389999993</v>
      </c>
      <c r="H316" s="285"/>
      <c r="I316" s="287"/>
      <c r="J316" s="288"/>
    </row>
    <row r="317" spans="1:10" ht="11.1" customHeight="1" x14ac:dyDescent="0.3">
      <c r="A317" s="148"/>
      <c r="B317" s="148"/>
      <c r="C317" s="148"/>
      <c r="D317" s="148"/>
      <c r="E317" s="148"/>
      <c r="F317" s="148"/>
      <c r="G317" s="148"/>
      <c r="H317" s="285"/>
      <c r="I317" s="287"/>
      <c r="J317" s="288"/>
    </row>
    <row r="318" spans="1:10" ht="11.1" customHeight="1" x14ac:dyDescent="0.3">
      <c r="A318" s="148"/>
      <c r="B318" s="148"/>
      <c r="C318" s="148"/>
      <c r="D318" s="148"/>
      <c r="E318" s="148"/>
      <c r="F318" s="148"/>
      <c r="G318" s="148"/>
      <c r="H318" s="285"/>
      <c r="I318" s="287"/>
      <c r="J318" s="288"/>
    </row>
    <row r="319" spans="1:10" ht="11.1" customHeight="1" x14ac:dyDescent="0.3">
      <c r="A319" s="305" t="s">
        <v>6</v>
      </c>
      <c r="B319" s="305"/>
      <c r="C319" s="305"/>
      <c r="D319" s="305"/>
      <c r="E319" s="305"/>
      <c r="F319" s="305"/>
      <c r="G319" s="305"/>
      <c r="H319" s="285"/>
      <c r="I319" s="287"/>
      <c r="J319" s="288"/>
    </row>
    <row r="320" spans="1:10" ht="11.1" customHeight="1" x14ac:dyDescent="0.3">
      <c r="A320" s="305" t="s">
        <v>35</v>
      </c>
      <c r="B320" s="305"/>
      <c r="C320" s="305"/>
      <c r="D320" s="305"/>
      <c r="E320" s="305"/>
      <c r="F320" s="305"/>
      <c r="G320" s="305"/>
      <c r="H320" s="285"/>
      <c r="I320" s="287"/>
      <c r="J320" s="288"/>
    </row>
    <row r="321" spans="1:10" ht="11.1" customHeight="1" x14ac:dyDescent="0.3">
      <c r="A321" s="311" t="s">
        <v>36</v>
      </c>
      <c r="B321" s="311"/>
      <c r="C321" s="311"/>
      <c r="D321" s="311"/>
      <c r="E321" s="311"/>
      <c r="F321" s="311"/>
      <c r="G321" s="311"/>
      <c r="H321" s="285"/>
      <c r="I321" s="287"/>
      <c r="J321" s="288"/>
    </row>
    <row r="322" spans="1:10" ht="11.1" customHeight="1" x14ac:dyDescent="0.3">
      <c r="A322" s="339" t="s">
        <v>43</v>
      </c>
      <c r="B322" s="340"/>
      <c r="C322" s="340"/>
      <c r="D322" s="340"/>
      <c r="E322" s="340"/>
      <c r="F322" s="340"/>
      <c r="G322" s="341"/>
      <c r="H322" s="285"/>
      <c r="I322" s="287"/>
      <c r="J322" s="288"/>
    </row>
    <row r="323" spans="1:10" ht="11.1" customHeight="1" x14ac:dyDescent="0.3">
      <c r="A323" s="25"/>
      <c r="B323" s="292" t="s">
        <v>3</v>
      </c>
      <c r="C323" s="293"/>
      <c r="D323" s="293"/>
      <c r="E323" s="293"/>
      <c r="F323" s="293"/>
      <c r="G323" s="294"/>
      <c r="H323" s="285"/>
      <c r="I323" s="287"/>
      <c r="J323" s="288"/>
    </row>
    <row r="324" spans="1:10" ht="11.1" customHeight="1" x14ac:dyDescent="0.3">
      <c r="A324" s="26">
        <v>1</v>
      </c>
      <c r="B324" s="295" t="s">
        <v>4</v>
      </c>
      <c r="C324" s="296"/>
      <c r="D324" s="296"/>
      <c r="E324" s="297"/>
      <c r="F324" s="298">
        <v>1985.1985999999999</v>
      </c>
      <c r="G324" s="299"/>
      <c r="H324" s="285"/>
      <c r="I324" s="287"/>
      <c r="J324" s="288"/>
    </row>
    <row r="325" spans="1:10" ht="11.1" customHeight="1" x14ac:dyDescent="0.3">
      <c r="A325" s="27">
        <v>2</v>
      </c>
      <c r="B325" s="300" t="s">
        <v>12</v>
      </c>
      <c r="C325" s="301"/>
      <c r="D325" s="301"/>
      <c r="E325" s="302"/>
      <c r="F325" s="303">
        <v>9</v>
      </c>
      <c r="G325" s="304"/>
      <c r="H325" s="285"/>
      <c r="I325" s="287"/>
      <c r="J325" s="288"/>
    </row>
    <row r="326" spans="1:10" ht="11.1" customHeight="1" x14ac:dyDescent="0.3">
      <c r="A326" s="27">
        <v>3</v>
      </c>
      <c r="B326" s="300" t="s">
        <v>14</v>
      </c>
      <c r="C326" s="301"/>
      <c r="D326" s="301"/>
      <c r="E326" s="302"/>
      <c r="F326" s="303">
        <v>7</v>
      </c>
      <c r="G326" s="304"/>
      <c r="H326" s="285"/>
      <c r="I326" s="287"/>
      <c r="J326" s="288"/>
    </row>
    <row r="327" spans="1:10" ht="11.1" customHeight="1" x14ac:dyDescent="0.3">
      <c r="A327" s="27">
        <v>4</v>
      </c>
      <c r="B327" s="300" t="s">
        <v>13</v>
      </c>
      <c r="C327" s="301"/>
      <c r="D327" s="301"/>
      <c r="E327" s="302"/>
      <c r="F327" s="303">
        <v>238</v>
      </c>
      <c r="G327" s="304"/>
      <c r="H327" s="285"/>
      <c r="I327" s="287"/>
      <c r="J327" s="288"/>
    </row>
    <row r="328" spans="1:10" ht="11.1" customHeight="1" x14ac:dyDescent="0.3">
      <c r="A328" s="27">
        <v>5</v>
      </c>
      <c r="B328" s="300" t="s">
        <v>10</v>
      </c>
      <c r="C328" s="301"/>
      <c r="D328" s="301"/>
      <c r="E328" s="302"/>
      <c r="F328" s="303">
        <v>2036.9</v>
      </c>
      <c r="G328" s="304"/>
      <c r="H328" s="285"/>
      <c r="I328" s="287"/>
      <c r="J328" s="288"/>
    </row>
    <row r="329" spans="1:10" ht="11.1" customHeight="1" x14ac:dyDescent="0.3">
      <c r="A329" s="27">
        <v>6</v>
      </c>
      <c r="B329" s="300" t="s">
        <v>11</v>
      </c>
      <c r="C329" s="301"/>
      <c r="D329" s="301"/>
      <c r="E329" s="302"/>
      <c r="F329" s="303">
        <v>13452.77</v>
      </c>
      <c r="G329" s="304"/>
      <c r="H329" s="285"/>
      <c r="I329" s="287"/>
      <c r="J329" s="288"/>
    </row>
    <row r="330" spans="1:10" ht="11.1" customHeight="1" x14ac:dyDescent="0.3">
      <c r="A330" s="28">
        <v>7</v>
      </c>
      <c r="B330" s="306" t="s">
        <v>9</v>
      </c>
      <c r="C330" s="307"/>
      <c r="D330" s="307"/>
      <c r="E330" s="308"/>
      <c r="F330" s="309">
        <v>349.3</v>
      </c>
      <c r="G330" s="310"/>
      <c r="H330" s="285"/>
      <c r="I330" s="287"/>
      <c r="J330" s="288"/>
    </row>
    <row r="331" spans="1:10" ht="11.1" customHeight="1" x14ac:dyDescent="0.3">
      <c r="A331" s="309"/>
      <c r="B331" s="338"/>
      <c r="C331" s="338"/>
      <c r="D331" s="338"/>
      <c r="E331" s="338"/>
      <c r="F331" s="338"/>
      <c r="G331" s="338"/>
      <c r="H331" s="285"/>
      <c r="I331" s="287"/>
      <c r="J331" s="288"/>
    </row>
    <row r="332" spans="1:10" ht="11.1" customHeight="1" x14ac:dyDescent="0.3">
      <c r="A332" s="315" t="s">
        <v>99</v>
      </c>
      <c r="B332" s="316"/>
      <c r="C332" s="316"/>
      <c r="D332" s="316"/>
      <c r="E332" s="316"/>
      <c r="F332" s="316"/>
      <c r="G332" s="316"/>
      <c r="H332" s="285"/>
      <c r="I332" s="287"/>
      <c r="J332" s="288"/>
    </row>
    <row r="333" spans="1:10" ht="11.1" customHeight="1" x14ac:dyDescent="0.3">
      <c r="A333" s="29"/>
      <c r="B333" s="30"/>
      <c r="C333" s="29" t="s">
        <v>19</v>
      </c>
      <c r="D333" s="29"/>
      <c r="E333" s="29"/>
      <c r="F333" s="31"/>
      <c r="G333" s="29" t="s">
        <v>19</v>
      </c>
      <c r="H333" s="285"/>
      <c r="I333" s="287"/>
      <c r="J333" s="288"/>
    </row>
    <row r="334" spans="1:10" ht="11.1" customHeight="1" x14ac:dyDescent="0.3">
      <c r="A334" s="24"/>
      <c r="B334" s="2" t="s">
        <v>1</v>
      </c>
      <c r="C334" s="24" t="s">
        <v>28</v>
      </c>
      <c r="D334" s="24" t="s">
        <v>2</v>
      </c>
      <c r="E334" s="24" t="s">
        <v>16</v>
      </c>
      <c r="F334" s="32" t="s">
        <v>27</v>
      </c>
      <c r="G334" s="24" t="s">
        <v>28</v>
      </c>
      <c r="H334" s="285"/>
      <c r="I334" s="287"/>
      <c r="J334" s="288"/>
    </row>
    <row r="335" spans="1:10" ht="11.1" customHeight="1" x14ac:dyDescent="0.3">
      <c r="A335" s="33"/>
      <c r="B335" s="129"/>
      <c r="C335" s="33" t="s">
        <v>24</v>
      </c>
      <c r="D335" s="33"/>
      <c r="E335" s="34"/>
      <c r="F335" s="35"/>
      <c r="G335" s="33" t="s">
        <v>30</v>
      </c>
      <c r="H335" s="285"/>
      <c r="I335" s="287"/>
      <c r="J335" s="288"/>
    </row>
    <row r="336" spans="1:10" ht="11.1" customHeight="1" x14ac:dyDescent="0.3">
      <c r="A336" s="37" t="s">
        <v>20</v>
      </c>
      <c r="B336" s="131" t="s">
        <v>33</v>
      </c>
      <c r="C336" s="60"/>
      <c r="D336" s="60"/>
      <c r="E336" s="61"/>
      <c r="F336" s="61"/>
      <c r="G336" s="61"/>
      <c r="H336" s="285"/>
      <c r="I336" s="287"/>
      <c r="J336" s="288"/>
    </row>
    <row r="337" spans="1:10" ht="11.1" customHeight="1" x14ac:dyDescent="0.3">
      <c r="A337" s="101"/>
      <c r="B337" s="132" t="s">
        <v>7</v>
      </c>
      <c r="C337" s="62">
        <v>365393.08</v>
      </c>
      <c r="D337" s="62">
        <v>2309776.81</v>
      </c>
      <c r="E337" s="62">
        <f>C337+D337-G337</f>
        <v>2327287.62</v>
      </c>
      <c r="F337" s="62"/>
      <c r="G337" s="62">
        <f>390114.75-42232.48</f>
        <v>347882.27</v>
      </c>
      <c r="H337" s="285"/>
      <c r="I337" s="287"/>
      <c r="J337" s="288"/>
    </row>
    <row r="338" spans="1:10" ht="11.1" customHeight="1" x14ac:dyDescent="0.3">
      <c r="A338" s="101"/>
      <c r="B338" s="132" t="s">
        <v>8</v>
      </c>
      <c r="C338" s="68">
        <f>D338/12</f>
        <v>6622.5574999999999</v>
      </c>
      <c r="D338" s="62">
        <v>79470.69</v>
      </c>
      <c r="E338" s="62">
        <f>C338+D338-G338</f>
        <v>78940.885399999999</v>
      </c>
      <c r="F338" s="62"/>
      <c r="G338" s="62">
        <f>D338*9%</f>
        <v>7152.3621000000003</v>
      </c>
      <c r="H338" s="285"/>
      <c r="I338" s="287"/>
      <c r="J338" s="288"/>
    </row>
    <row r="339" spans="1:10" ht="11.1" customHeight="1" x14ac:dyDescent="0.3">
      <c r="A339" s="101"/>
      <c r="B339" s="132" t="s">
        <v>17</v>
      </c>
      <c r="C339" s="68">
        <f>D339/12</f>
        <v>1030</v>
      </c>
      <c r="D339" s="62">
        <v>12360</v>
      </c>
      <c r="E339" s="62">
        <f>C339+D339-G339</f>
        <v>12277.6</v>
      </c>
      <c r="F339" s="62"/>
      <c r="G339" s="62">
        <f>D339*9%</f>
        <v>1112.3999999999999</v>
      </c>
      <c r="H339" s="285"/>
      <c r="I339" s="287"/>
      <c r="J339" s="288"/>
    </row>
    <row r="340" spans="1:10" ht="11.1" customHeight="1" x14ac:dyDescent="0.3">
      <c r="A340" s="101"/>
      <c r="B340" s="135" t="s">
        <v>23</v>
      </c>
      <c r="C340" s="63">
        <f>SUM(C337:C339)</f>
        <v>373045.63750000001</v>
      </c>
      <c r="D340" s="63">
        <f>SUM(D337:D339)</f>
        <v>2401607.5</v>
      </c>
      <c r="E340" s="63">
        <f>SUM(E337:E339)</f>
        <v>2418506.1054000002</v>
      </c>
      <c r="F340" s="63">
        <f>D340-564.55</f>
        <v>2401042.9500000002</v>
      </c>
      <c r="G340" s="63">
        <f>SUM(G337:G339)</f>
        <v>356147.03210000007</v>
      </c>
      <c r="H340" s="285"/>
      <c r="I340" s="287"/>
      <c r="J340" s="288"/>
    </row>
    <row r="341" spans="1:10" ht="11.1" customHeight="1" x14ac:dyDescent="0.3">
      <c r="A341" s="101"/>
      <c r="B341" s="135"/>
      <c r="C341" s="68"/>
      <c r="D341" s="62"/>
      <c r="E341" s="62"/>
      <c r="F341" s="62"/>
      <c r="G341" s="62"/>
      <c r="H341" s="285"/>
      <c r="I341" s="287"/>
      <c r="J341" s="288"/>
    </row>
    <row r="342" spans="1:10" ht="11.1" customHeight="1" x14ac:dyDescent="0.3">
      <c r="A342" s="39">
        <v>2</v>
      </c>
      <c r="B342" s="152" t="s">
        <v>34</v>
      </c>
      <c r="C342" s="62">
        <v>0</v>
      </c>
      <c r="D342" s="63">
        <v>497617.98</v>
      </c>
      <c r="E342" s="63">
        <f>D342-G342</f>
        <v>434037.24</v>
      </c>
      <c r="F342" s="63">
        <f>D342</f>
        <v>497617.98</v>
      </c>
      <c r="G342" s="63">
        <f>42232.48+20660.93+687.33</f>
        <v>63580.740000000005</v>
      </c>
      <c r="H342" s="285"/>
      <c r="I342" s="287"/>
      <c r="J342" s="288"/>
    </row>
    <row r="343" spans="1:10" ht="11.1" customHeight="1" x14ac:dyDescent="0.3">
      <c r="A343" s="40"/>
      <c r="B343" s="40"/>
      <c r="C343" s="64"/>
      <c r="D343" s="64"/>
      <c r="E343" s="64"/>
      <c r="F343" s="64"/>
      <c r="G343" s="153"/>
      <c r="H343" s="285"/>
      <c r="I343" s="287"/>
      <c r="J343" s="288"/>
    </row>
    <row r="344" spans="1:10" ht="11.1" customHeight="1" x14ac:dyDescent="0.3">
      <c r="A344" s="39" t="s">
        <v>22</v>
      </c>
      <c r="B344" s="137" t="s">
        <v>106</v>
      </c>
      <c r="C344" s="62">
        <f>152389-0</f>
        <v>152389</v>
      </c>
      <c r="D344" s="62">
        <v>934101.07</v>
      </c>
      <c r="E344" s="62">
        <f>C344+D344-G344</f>
        <v>946635.86999999988</v>
      </c>
      <c r="F344" s="154"/>
      <c r="G344" s="62">
        <f>161202.46-20660.93-687.33</f>
        <v>139854.20000000001</v>
      </c>
      <c r="H344" s="285"/>
      <c r="I344" s="287"/>
      <c r="J344" s="288"/>
    </row>
    <row r="345" spans="1:10" ht="11.1" customHeight="1" x14ac:dyDescent="0.3">
      <c r="A345" s="39"/>
      <c r="B345" s="138" t="s">
        <v>37</v>
      </c>
      <c r="C345" s="62">
        <f>D345/12</f>
        <v>2383.0991666666664</v>
      </c>
      <c r="D345" s="62">
        <v>28597.19</v>
      </c>
      <c r="E345" s="62">
        <f>C345+D345-G345</f>
        <v>28406.542066666665</v>
      </c>
      <c r="F345" s="155"/>
      <c r="G345" s="62">
        <f>D345*9%</f>
        <v>2573.7470999999996</v>
      </c>
      <c r="H345" s="285"/>
      <c r="I345" s="287"/>
      <c r="J345" s="288"/>
    </row>
    <row r="346" spans="1:10" ht="11.1" customHeight="1" x14ac:dyDescent="0.3">
      <c r="A346" s="39"/>
      <c r="B346" s="135" t="s">
        <v>23</v>
      </c>
      <c r="C346" s="50">
        <f>SUM(C344:C345)</f>
        <v>154772.09916666665</v>
      </c>
      <c r="D346" s="63">
        <f>SUM(D344:D345)</f>
        <v>962698.25999999989</v>
      </c>
      <c r="E346" s="63">
        <f>SUM(E344:E345)</f>
        <v>975042.41206666653</v>
      </c>
      <c r="F346" s="65">
        <v>1320830.49</v>
      </c>
      <c r="G346" s="50">
        <f>SUM(G344:G345)</f>
        <v>142427.94710000002</v>
      </c>
      <c r="H346" s="285"/>
      <c r="I346" s="287"/>
      <c r="J346" s="288"/>
    </row>
    <row r="347" spans="1:10" ht="11.1" customHeight="1" x14ac:dyDescent="0.3">
      <c r="A347" s="41"/>
      <c r="B347" s="159"/>
      <c r="C347" s="117"/>
      <c r="D347" s="66"/>
      <c r="E347" s="66"/>
      <c r="F347" s="67"/>
      <c r="G347" s="117"/>
      <c r="H347" s="285"/>
      <c r="I347" s="287"/>
      <c r="J347" s="288"/>
    </row>
    <row r="348" spans="1:10" ht="11.1" customHeight="1" x14ac:dyDescent="0.3">
      <c r="A348" s="81"/>
      <c r="B348" s="82" t="s">
        <v>74</v>
      </c>
      <c r="C348" s="90">
        <f>C346+C342+C340</f>
        <v>527817.73666666669</v>
      </c>
      <c r="D348" s="90">
        <f>D346+D342+D340</f>
        <v>3861923.7399999998</v>
      </c>
      <c r="E348" s="90">
        <f>E346+E342+E340</f>
        <v>3827585.7574666669</v>
      </c>
      <c r="F348" s="90">
        <f>F346+F342+F340</f>
        <v>4219491.42</v>
      </c>
      <c r="G348" s="90">
        <f>G346+G342+G340</f>
        <v>562155.71920000017</v>
      </c>
      <c r="H348" s="285"/>
      <c r="I348" s="287"/>
      <c r="J348" s="288"/>
    </row>
    <row r="349" spans="1:10" ht="11.1" customHeight="1" x14ac:dyDescent="0.3">
      <c r="A349" s="130"/>
      <c r="B349" s="36"/>
      <c r="C349" s="30"/>
      <c r="D349" s="36"/>
      <c r="E349" s="36"/>
      <c r="F349" s="36"/>
      <c r="G349" s="44"/>
      <c r="H349" s="285"/>
      <c r="I349" s="287"/>
      <c r="J349" s="288"/>
    </row>
    <row r="350" spans="1:10" ht="11.1" customHeight="1" x14ac:dyDescent="0.3">
      <c r="A350" s="318" t="s">
        <v>18</v>
      </c>
      <c r="B350" s="319"/>
      <c r="C350" s="319"/>
      <c r="D350" s="319"/>
      <c r="E350" s="319"/>
      <c r="F350" s="319"/>
      <c r="G350" s="45"/>
      <c r="H350" s="285"/>
      <c r="I350" s="287"/>
      <c r="J350" s="288"/>
    </row>
    <row r="351" spans="1:10" ht="11.1" customHeight="1" x14ac:dyDescent="0.3">
      <c r="A351" s="6"/>
      <c r="B351" s="11"/>
      <c r="C351" s="29" t="s">
        <v>19</v>
      </c>
      <c r="D351" s="29"/>
      <c r="E351" s="29"/>
      <c r="F351" s="31"/>
      <c r="G351" s="29" t="s">
        <v>19</v>
      </c>
      <c r="H351" s="285"/>
      <c r="I351" s="287"/>
      <c r="J351" s="288"/>
    </row>
    <row r="352" spans="1:10" ht="11.1" customHeight="1" x14ac:dyDescent="0.3">
      <c r="A352" s="1" t="s">
        <v>15</v>
      </c>
      <c r="B352" s="2" t="s">
        <v>1</v>
      </c>
      <c r="C352" s="24" t="s">
        <v>28</v>
      </c>
      <c r="D352" s="24" t="s">
        <v>2</v>
      </c>
      <c r="E352" s="24" t="s">
        <v>16</v>
      </c>
      <c r="F352" s="32" t="s">
        <v>27</v>
      </c>
      <c r="G352" s="24" t="s">
        <v>28</v>
      </c>
      <c r="H352" s="285"/>
      <c r="I352" s="287"/>
      <c r="J352" s="288"/>
    </row>
    <row r="353" spans="1:10" ht="11.1" customHeight="1" x14ac:dyDescent="0.3">
      <c r="A353" s="1" t="s">
        <v>0</v>
      </c>
      <c r="B353" s="2"/>
      <c r="C353" s="33" t="s">
        <v>24</v>
      </c>
      <c r="D353" s="33"/>
      <c r="E353" s="34"/>
      <c r="F353" s="35"/>
      <c r="G353" s="33" t="s">
        <v>30</v>
      </c>
      <c r="H353" s="285"/>
      <c r="I353" s="287"/>
      <c r="J353" s="288"/>
    </row>
    <row r="354" spans="1:10" ht="11.1" customHeight="1" x14ac:dyDescent="0.3">
      <c r="A354" s="47" t="s">
        <v>20</v>
      </c>
      <c r="B354" s="143" t="s">
        <v>21</v>
      </c>
      <c r="C354" s="38"/>
      <c r="D354" s="38"/>
      <c r="E354" s="38"/>
      <c r="F354" s="38"/>
      <c r="G354" s="38"/>
      <c r="H354" s="285"/>
      <c r="I354" s="287"/>
      <c r="J354" s="288"/>
    </row>
    <row r="355" spans="1:10" ht="11.1" customHeight="1" x14ac:dyDescent="0.3">
      <c r="A355" s="48"/>
      <c r="B355" s="40" t="s">
        <v>109</v>
      </c>
      <c r="C355" s="43">
        <v>549793.57999999996</v>
      </c>
      <c r="D355" s="5">
        <v>3460509.59</v>
      </c>
      <c r="E355" s="5">
        <f>C355+D355-G355</f>
        <v>3434256.57</v>
      </c>
      <c r="F355" s="262"/>
      <c r="G355" s="43">
        <f>576046.6</f>
        <v>576046.6</v>
      </c>
      <c r="H355" s="285"/>
      <c r="I355" s="287"/>
      <c r="J355" s="288"/>
    </row>
    <row r="356" spans="1:10" ht="11.1" customHeight="1" x14ac:dyDescent="0.3">
      <c r="A356" s="39"/>
      <c r="B356" s="138" t="s">
        <v>117</v>
      </c>
      <c r="C356" s="43">
        <f>D356/12</f>
        <v>7489.9575000000004</v>
      </c>
      <c r="D356" s="5">
        <v>89879.49</v>
      </c>
      <c r="E356" s="5">
        <f>C356+D356-G356</f>
        <v>89280.29340000001</v>
      </c>
      <c r="F356" s="118"/>
      <c r="G356" s="43">
        <f>D356*9%</f>
        <v>8089.1540999999997</v>
      </c>
      <c r="H356" s="285"/>
      <c r="I356" s="287"/>
      <c r="J356" s="288"/>
    </row>
    <row r="357" spans="1:10" ht="11.1" customHeight="1" x14ac:dyDescent="0.3">
      <c r="A357" s="39"/>
      <c r="B357" s="138"/>
      <c r="C357" s="58">
        <f>SUM(C355:C356)</f>
        <v>557283.53749999998</v>
      </c>
      <c r="D357" s="58">
        <f>SUM(D355:D356)</f>
        <v>3550389.08</v>
      </c>
      <c r="E357" s="58">
        <f>SUM(E355:E356)</f>
        <v>3523536.8633999997</v>
      </c>
      <c r="F357" s="120">
        <f>3177652.31+50619.07</f>
        <v>3228271.38</v>
      </c>
      <c r="G357" s="58">
        <f>SUM(G355:G356)</f>
        <v>584135.75410000002</v>
      </c>
      <c r="H357" s="285"/>
      <c r="I357" s="287"/>
      <c r="J357" s="288"/>
    </row>
    <row r="358" spans="1:10" ht="11.1" customHeight="1" x14ac:dyDescent="0.3">
      <c r="A358" s="39"/>
      <c r="B358" s="138"/>
      <c r="C358" s="43"/>
      <c r="D358" s="5"/>
      <c r="E358" s="5"/>
      <c r="F358" s="122"/>
      <c r="G358" s="43"/>
      <c r="H358" s="285"/>
      <c r="I358" s="287"/>
      <c r="J358" s="288"/>
    </row>
    <row r="359" spans="1:10" ht="11.1" customHeight="1" x14ac:dyDescent="0.3">
      <c r="A359" s="49"/>
      <c r="B359" s="40" t="s">
        <v>107</v>
      </c>
      <c r="C359" s="5">
        <f>215591.91+28864.19+18484.92</f>
        <v>262941.02</v>
      </c>
      <c r="D359" s="5">
        <v>1644753.26</v>
      </c>
      <c r="E359" s="5">
        <f>C359+D359-G359</f>
        <v>1590133.78</v>
      </c>
      <c r="F359" s="266"/>
      <c r="G359" s="5">
        <f>264955.94+36440.75+16163.81</f>
        <v>317560.5</v>
      </c>
      <c r="H359" s="285"/>
      <c r="I359" s="287"/>
      <c r="J359" s="288"/>
    </row>
    <row r="360" spans="1:10" ht="11.1" customHeight="1" x14ac:dyDescent="0.3">
      <c r="A360" s="49"/>
      <c r="B360" s="138" t="s">
        <v>117</v>
      </c>
      <c r="C360" s="5">
        <f>D360/12</f>
        <v>1027.3716666666667</v>
      </c>
      <c r="D360" s="5">
        <v>12328.46</v>
      </c>
      <c r="E360" s="5">
        <f>C360+D360-G360</f>
        <v>12246.270266666665</v>
      </c>
      <c r="F360" s="166"/>
      <c r="G360" s="267">
        <f>D360*9%</f>
        <v>1109.5613999999998</v>
      </c>
      <c r="H360" s="285"/>
      <c r="I360" s="287"/>
      <c r="J360" s="288"/>
    </row>
    <row r="361" spans="1:10" ht="11.1" customHeight="1" x14ac:dyDescent="0.3">
      <c r="A361" s="49"/>
      <c r="B361" s="135" t="s">
        <v>23</v>
      </c>
      <c r="C361" s="50">
        <f>SUM(C359:C360)</f>
        <v>263968.39166666666</v>
      </c>
      <c r="D361" s="50">
        <f>SUM(D359:D360)</f>
        <v>1657081.72</v>
      </c>
      <c r="E361" s="50">
        <f>SUM(E359:E360)</f>
        <v>1602380.0502666668</v>
      </c>
      <c r="F361" s="120">
        <f>348316.19+1336062.38+2178.25+5603.95</f>
        <v>1692160.7699999998</v>
      </c>
      <c r="G361" s="50">
        <f>SUM(G359:G360)</f>
        <v>318670.06140000001</v>
      </c>
      <c r="H361" s="285"/>
      <c r="I361" s="287"/>
      <c r="J361" s="288"/>
    </row>
    <row r="362" spans="1:10" ht="11.1" customHeight="1" x14ac:dyDescent="0.3">
      <c r="A362" s="101" t="s">
        <v>26</v>
      </c>
      <c r="B362" s="137" t="s">
        <v>29</v>
      </c>
      <c r="C362" s="5"/>
      <c r="D362" s="5"/>
      <c r="E362" s="5"/>
      <c r="F362" s="50"/>
      <c r="G362" s="5"/>
      <c r="H362" s="285"/>
      <c r="I362" s="287"/>
      <c r="J362" s="288"/>
    </row>
    <row r="363" spans="1:10" ht="11.1" customHeight="1" x14ac:dyDescent="0.3">
      <c r="A363" s="101"/>
      <c r="B363" s="40" t="s">
        <v>31</v>
      </c>
      <c r="C363" s="43">
        <f>101331.99+84865.2</f>
        <v>186197.19</v>
      </c>
      <c r="D363" s="5">
        <f>547684.12+513531.44</f>
        <v>1061215.56</v>
      </c>
      <c r="E363" s="5">
        <f>C363+D363-G363</f>
        <v>1028863.97</v>
      </c>
      <c r="F363" s="5"/>
      <c r="G363" s="5">
        <f>116517.78+102031</f>
        <v>218548.78</v>
      </c>
      <c r="H363" s="285"/>
      <c r="I363" s="287"/>
      <c r="J363" s="288"/>
    </row>
    <row r="364" spans="1:10" ht="11.1" customHeight="1" x14ac:dyDescent="0.3">
      <c r="A364" s="39"/>
      <c r="B364" s="40" t="s">
        <v>32</v>
      </c>
      <c r="C364" s="43">
        <f>D364/12</f>
        <v>1457.6525000000001</v>
      </c>
      <c r="D364" s="14">
        <v>17491.830000000002</v>
      </c>
      <c r="E364" s="14">
        <f>C364+D364-G364</f>
        <v>17375.217800000002</v>
      </c>
      <c r="F364" s="5"/>
      <c r="G364" s="5">
        <f>D364*9%</f>
        <v>1574.2647000000002</v>
      </c>
      <c r="H364" s="285"/>
      <c r="I364" s="287"/>
      <c r="J364" s="288"/>
    </row>
    <row r="365" spans="1:10" ht="11.1" customHeight="1" x14ac:dyDescent="0.3">
      <c r="A365" s="39"/>
      <c r="B365" s="135" t="s">
        <v>23</v>
      </c>
      <c r="C365" s="58">
        <f>SUM(C363:C364)</f>
        <v>187654.8425</v>
      </c>
      <c r="D365" s="50">
        <f>SUM(D363:D364)</f>
        <v>1078707.3900000001</v>
      </c>
      <c r="E365" s="50">
        <f>SUM(E363:E364)</f>
        <v>1046239.1878</v>
      </c>
      <c r="F365" s="50">
        <f>D365</f>
        <v>1078707.3900000001</v>
      </c>
      <c r="G365" s="50">
        <f>SUM(G363:G364)</f>
        <v>220123.0447</v>
      </c>
      <c r="H365" s="285"/>
      <c r="I365" s="287"/>
      <c r="J365" s="288"/>
    </row>
    <row r="366" spans="1:10" ht="11.1" customHeight="1" x14ac:dyDescent="0.3">
      <c r="A366" s="101"/>
      <c r="B366" s="115"/>
      <c r="C366" s="5"/>
      <c r="D366" s="13"/>
      <c r="E366" s="5"/>
      <c r="F366" s="5"/>
      <c r="G366" s="5"/>
      <c r="H366" s="285"/>
      <c r="I366" s="287"/>
      <c r="J366" s="288"/>
    </row>
    <row r="367" spans="1:10" ht="11.1" customHeight="1" x14ac:dyDescent="0.3">
      <c r="A367" s="100" t="s">
        <v>22</v>
      </c>
      <c r="B367" s="183" t="s">
        <v>69</v>
      </c>
      <c r="C367" s="52">
        <v>260029.36</v>
      </c>
      <c r="D367" s="92">
        <v>1398923.88</v>
      </c>
      <c r="E367" s="52">
        <v>1426971.09</v>
      </c>
      <c r="F367" s="52">
        <f>1251816.69+237121.4</f>
        <v>1488938.0899999999</v>
      </c>
      <c r="G367" s="52">
        <f>C367+D367-E367</f>
        <v>231982.14999999967</v>
      </c>
      <c r="H367" s="285"/>
      <c r="I367" s="287"/>
      <c r="J367" s="288"/>
    </row>
    <row r="368" spans="1:10" ht="11.1" customHeight="1" x14ac:dyDescent="0.3">
      <c r="A368" s="180"/>
      <c r="B368" s="94" t="s">
        <v>74</v>
      </c>
      <c r="C368" s="91">
        <f>C367+C365+C361+C357</f>
        <v>1268936.1316666668</v>
      </c>
      <c r="D368" s="91">
        <f>D367+D365+D361+D357</f>
        <v>7685102.0700000003</v>
      </c>
      <c r="E368" s="91">
        <f>E367+E365+E361+E357</f>
        <v>7599127.1914666668</v>
      </c>
      <c r="F368" s="91">
        <f>F367+F365+F361+F357</f>
        <v>7488077.6299999999</v>
      </c>
      <c r="G368" s="91">
        <f>G367+G365+G361+G357</f>
        <v>1354911.0101999997</v>
      </c>
      <c r="H368" s="285"/>
      <c r="I368" s="287"/>
      <c r="J368" s="288"/>
    </row>
    <row r="369" spans="1:10" ht="11.1" customHeight="1" x14ac:dyDescent="0.3">
      <c r="A369" s="148"/>
      <c r="B369" s="148"/>
      <c r="C369" s="148"/>
      <c r="D369" s="148"/>
      <c r="E369" s="148"/>
      <c r="F369" s="148"/>
      <c r="G369" s="181"/>
      <c r="H369" s="285"/>
      <c r="I369" s="287"/>
      <c r="J369" s="288"/>
    </row>
    <row r="370" spans="1:10" ht="11.1" customHeight="1" x14ac:dyDescent="0.3">
      <c r="A370" s="148"/>
      <c r="B370" s="148"/>
      <c r="C370" s="148"/>
      <c r="D370" s="148"/>
      <c r="E370" s="148"/>
      <c r="F370" s="148"/>
      <c r="G370" s="181"/>
      <c r="H370" s="285"/>
      <c r="I370" s="287"/>
      <c r="J370" s="288"/>
    </row>
    <row r="371" spans="1:10" ht="11.1" customHeight="1" x14ac:dyDescent="0.3">
      <c r="A371" s="148"/>
      <c r="B371" s="148"/>
      <c r="C371" s="148"/>
      <c r="D371" s="148"/>
      <c r="E371" s="148"/>
      <c r="F371" s="148"/>
      <c r="G371" s="181"/>
      <c r="H371" s="285"/>
      <c r="I371" s="287"/>
      <c r="J371" s="288"/>
    </row>
    <row r="372" spans="1:10" ht="11.1" customHeight="1" x14ac:dyDescent="0.3">
      <c r="A372" s="305" t="s">
        <v>6</v>
      </c>
      <c r="B372" s="305"/>
      <c r="C372" s="305"/>
      <c r="D372" s="305"/>
      <c r="E372" s="305"/>
      <c r="F372" s="305"/>
      <c r="G372" s="305"/>
      <c r="H372" s="285"/>
      <c r="I372" s="287"/>
      <c r="J372" s="288"/>
    </row>
    <row r="373" spans="1:10" ht="11.1" customHeight="1" x14ac:dyDescent="0.3">
      <c r="A373" s="305" t="s">
        <v>35</v>
      </c>
      <c r="B373" s="305"/>
      <c r="C373" s="305"/>
      <c r="D373" s="305"/>
      <c r="E373" s="305"/>
      <c r="F373" s="305"/>
      <c r="G373" s="305"/>
      <c r="H373" s="285"/>
      <c r="I373" s="287"/>
      <c r="J373" s="288"/>
    </row>
    <row r="374" spans="1:10" ht="11.1" customHeight="1" x14ac:dyDescent="0.3">
      <c r="A374" s="311" t="s">
        <v>36</v>
      </c>
      <c r="B374" s="311"/>
      <c r="C374" s="311"/>
      <c r="D374" s="311"/>
      <c r="E374" s="311"/>
      <c r="F374" s="311"/>
      <c r="G374" s="311"/>
      <c r="H374" s="285"/>
      <c r="I374" s="287"/>
      <c r="J374" s="288"/>
    </row>
    <row r="375" spans="1:10" ht="11.1" customHeight="1" x14ac:dyDescent="0.3">
      <c r="A375" s="339" t="s">
        <v>44</v>
      </c>
      <c r="B375" s="340"/>
      <c r="C375" s="340"/>
      <c r="D375" s="340"/>
      <c r="E375" s="340"/>
      <c r="F375" s="340"/>
      <c r="G375" s="341"/>
      <c r="H375" s="285"/>
      <c r="I375" s="287"/>
      <c r="J375" s="288"/>
    </row>
    <row r="376" spans="1:10" ht="11.1" customHeight="1" x14ac:dyDescent="0.3">
      <c r="A376" s="25"/>
      <c r="B376" s="292" t="s">
        <v>3</v>
      </c>
      <c r="C376" s="293"/>
      <c r="D376" s="293"/>
      <c r="E376" s="293"/>
      <c r="F376" s="293"/>
      <c r="G376" s="294"/>
      <c r="H376" s="285"/>
      <c r="I376" s="287"/>
      <c r="J376" s="288"/>
    </row>
    <row r="377" spans="1:10" ht="11.1" customHeight="1" x14ac:dyDescent="0.3">
      <c r="A377" s="26">
        <v>1</v>
      </c>
      <c r="B377" s="295" t="s">
        <v>4</v>
      </c>
      <c r="C377" s="296"/>
      <c r="D377" s="296"/>
      <c r="E377" s="297"/>
      <c r="F377" s="298">
        <v>1991</v>
      </c>
      <c r="G377" s="299"/>
      <c r="H377" s="285"/>
      <c r="I377" s="287"/>
      <c r="J377" s="288"/>
    </row>
    <row r="378" spans="1:10" ht="11.1" customHeight="1" x14ac:dyDescent="0.3">
      <c r="A378" s="27">
        <v>2</v>
      </c>
      <c r="B378" s="300" t="s">
        <v>12</v>
      </c>
      <c r="C378" s="301"/>
      <c r="D378" s="301"/>
      <c r="E378" s="302"/>
      <c r="F378" s="303">
        <v>10</v>
      </c>
      <c r="G378" s="304"/>
      <c r="H378" s="285"/>
      <c r="I378" s="287"/>
      <c r="J378" s="288"/>
    </row>
    <row r="379" spans="1:10" ht="11.1" customHeight="1" x14ac:dyDescent="0.3">
      <c r="A379" s="27">
        <v>3</v>
      </c>
      <c r="B379" s="300" t="s">
        <v>14</v>
      </c>
      <c r="C379" s="301"/>
      <c r="D379" s="301"/>
      <c r="E379" s="302"/>
      <c r="F379" s="303">
        <v>1</v>
      </c>
      <c r="G379" s="304"/>
      <c r="H379" s="285"/>
      <c r="I379" s="287"/>
      <c r="J379" s="288"/>
    </row>
    <row r="380" spans="1:10" ht="11.1" customHeight="1" x14ac:dyDescent="0.3">
      <c r="A380" s="27">
        <v>4</v>
      </c>
      <c r="B380" s="300" t="s">
        <v>13</v>
      </c>
      <c r="C380" s="301"/>
      <c r="D380" s="301"/>
      <c r="E380" s="302"/>
      <c r="F380" s="303">
        <v>40</v>
      </c>
      <c r="G380" s="304"/>
      <c r="H380" s="285"/>
      <c r="I380" s="287"/>
      <c r="J380" s="288"/>
    </row>
    <row r="381" spans="1:10" ht="11.1" customHeight="1" x14ac:dyDescent="0.3">
      <c r="A381" s="27">
        <v>5</v>
      </c>
      <c r="B381" s="300" t="s">
        <v>10</v>
      </c>
      <c r="C381" s="301"/>
      <c r="D381" s="301"/>
      <c r="E381" s="302"/>
      <c r="F381" s="303">
        <v>561.1</v>
      </c>
      <c r="G381" s="304"/>
      <c r="H381" s="285"/>
      <c r="I381" s="287"/>
      <c r="J381" s="288"/>
    </row>
    <row r="382" spans="1:10" ht="11.1" customHeight="1" x14ac:dyDescent="0.3">
      <c r="A382" s="27">
        <v>6</v>
      </c>
      <c r="B382" s="300" t="s">
        <v>11</v>
      </c>
      <c r="C382" s="301"/>
      <c r="D382" s="301"/>
      <c r="E382" s="302"/>
      <c r="F382" s="303">
        <v>2965.6</v>
      </c>
      <c r="G382" s="304"/>
      <c r="H382" s="285"/>
      <c r="I382" s="287"/>
      <c r="J382" s="288"/>
    </row>
    <row r="383" spans="1:10" ht="11.1" customHeight="1" x14ac:dyDescent="0.3">
      <c r="A383" s="28">
        <v>7</v>
      </c>
      <c r="B383" s="306" t="s">
        <v>9</v>
      </c>
      <c r="C383" s="307"/>
      <c r="D383" s="307"/>
      <c r="E383" s="308"/>
      <c r="F383" s="309">
        <v>0</v>
      </c>
      <c r="G383" s="310"/>
      <c r="H383" s="285"/>
      <c r="I383" s="287"/>
      <c r="J383" s="288"/>
    </row>
    <row r="384" spans="1:10" ht="11.1" customHeight="1" x14ac:dyDescent="0.3">
      <c r="A384" s="255"/>
      <c r="B384" s="251"/>
      <c r="C384" s="251"/>
      <c r="D384" s="251"/>
      <c r="E384" s="251"/>
      <c r="F384" s="256"/>
      <c r="G384" s="250"/>
      <c r="H384" s="285"/>
      <c r="I384" s="287"/>
      <c r="J384" s="288"/>
    </row>
    <row r="385" spans="1:10" ht="11.1" customHeight="1" x14ac:dyDescent="0.3">
      <c r="A385" s="315" t="s">
        <v>99</v>
      </c>
      <c r="B385" s="316"/>
      <c r="C385" s="316"/>
      <c r="D385" s="316"/>
      <c r="E385" s="316"/>
      <c r="F385" s="316"/>
      <c r="G385" s="317"/>
      <c r="H385" s="285"/>
      <c r="I385" s="287"/>
      <c r="J385" s="288"/>
    </row>
    <row r="386" spans="1:10" ht="11.1" customHeight="1" x14ac:dyDescent="0.3">
      <c r="A386" s="29"/>
      <c r="B386" s="30"/>
      <c r="C386" s="29" t="s">
        <v>19</v>
      </c>
      <c r="D386" s="29"/>
      <c r="E386" s="29"/>
      <c r="F386" s="31"/>
      <c r="G386" s="29" t="s">
        <v>19</v>
      </c>
      <c r="H386" s="285"/>
      <c r="I386" s="287"/>
      <c r="J386" s="288"/>
    </row>
    <row r="387" spans="1:10" ht="11.1" customHeight="1" x14ac:dyDescent="0.3">
      <c r="A387" s="24"/>
      <c r="B387" s="2" t="s">
        <v>1</v>
      </c>
      <c r="C387" s="24" t="s">
        <v>28</v>
      </c>
      <c r="D387" s="24" t="s">
        <v>2</v>
      </c>
      <c r="E387" s="24" t="s">
        <v>16</v>
      </c>
      <c r="F387" s="32" t="s">
        <v>27</v>
      </c>
      <c r="G387" s="24" t="s">
        <v>28</v>
      </c>
      <c r="H387" s="285"/>
      <c r="I387" s="287"/>
      <c r="J387" s="288"/>
    </row>
    <row r="388" spans="1:10" ht="11.1" customHeight="1" x14ac:dyDescent="0.3">
      <c r="A388" s="33"/>
      <c r="B388" s="129"/>
      <c r="C388" s="33" t="s">
        <v>24</v>
      </c>
      <c r="D388" s="33"/>
      <c r="E388" s="34"/>
      <c r="F388" s="35"/>
      <c r="G388" s="33" t="s">
        <v>30</v>
      </c>
      <c r="H388" s="285"/>
      <c r="I388" s="287"/>
      <c r="J388" s="288"/>
    </row>
    <row r="389" spans="1:10" ht="11.1" customHeight="1" x14ac:dyDescent="0.3">
      <c r="A389" s="37" t="s">
        <v>20</v>
      </c>
      <c r="B389" s="131" t="s">
        <v>33</v>
      </c>
      <c r="C389" s="42"/>
      <c r="D389" s="42"/>
      <c r="E389" s="38"/>
      <c r="F389" s="38"/>
      <c r="G389" s="38"/>
      <c r="H389" s="285"/>
      <c r="I389" s="287"/>
      <c r="J389" s="288"/>
    </row>
    <row r="390" spans="1:10" ht="11.1" customHeight="1" x14ac:dyDescent="0.3">
      <c r="A390" s="101"/>
      <c r="B390" s="132" t="s">
        <v>7</v>
      </c>
      <c r="C390" s="62">
        <v>56497.74</v>
      </c>
      <c r="D390" s="62">
        <v>509253.15</v>
      </c>
      <c r="E390" s="62">
        <f>C390+D390-G390</f>
        <v>520452.32</v>
      </c>
      <c r="F390" s="62"/>
      <c r="G390" s="62">
        <f>52941.87-7643.3</f>
        <v>45298.57</v>
      </c>
      <c r="H390" s="285"/>
      <c r="I390" s="287"/>
      <c r="J390" s="288"/>
    </row>
    <row r="391" spans="1:10" ht="11.1" customHeight="1" x14ac:dyDescent="0.3">
      <c r="A391" s="101"/>
      <c r="B391" s="132" t="s">
        <v>17</v>
      </c>
      <c r="C391" s="68">
        <f>D391/12</f>
        <v>1300</v>
      </c>
      <c r="D391" s="62">
        <v>15600</v>
      </c>
      <c r="E391" s="62">
        <f>C391+D391-G391</f>
        <v>15496</v>
      </c>
      <c r="F391" s="62"/>
      <c r="G391" s="62">
        <f>D391*9%</f>
        <v>1404</v>
      </c>
      <c r="H391" s="285"/>
      <c r="I391" s="287"/>
      <c r="J391" s="288"/>
    </row>
    <row r="392" spans="1:10" ht="11.1" customHeight="1" x14ac:dyDescent="0.3">
      <c r="A392" s="101"/>
      <c r="B392" s="135" t="s">
        <v>23</v>
      </c>
      <c r="C392" s="63">
        <f>SUM(C390:C391)</f>
        <v>57797.74</v>
      </c>
      <c r="D392" s="63">
        <f>SUM(D390:D391)</f>
        <v>524853.15</v>
      </c>
      <c r="E392" s="63">
        <f>SUM(E390:E391)</f>
        <v>535948.32000000007</v>
      </c>
      <c r="F392" s="63">
        <f>D392+1653.8</f>
        <v>526506.95000000007</v>
      </c>
      <c r="G392" s="63">
        <f>SUM(G390:G391)</f>
        <v>46702.57</v>
      </c>
      <c r="H392" s="285"/>
      <c r="I392" s="287"/>
      <c r="J392" s="288"/>
    </row>
    <row r="393" spans="1:10" ht="11.1" customHeight="1" x14ac:dyDescent="0.3">
      <c r="A393" s="101"/>
      <c r="B393" s="135"/>
      <c r="C393" s="68"/>
      <c r="D393" s="62"/>
      <c r="E393" s="62"/>
      <c r="F393" s="62"/>
      <c r="G393" s="62"/>
      <c r="H393" s="285"/>
      <c r="I393" s="287"/>
      <c r="J393" s="288"/>
    </row>
    <row r="394" spans="1:10" ht="11.1" customHeight="1" x14ac:dyDescent="0.3">
      <c r="A394" s="39">
        <v>2</v>
      </c>
      <c r="B394" s="152" t="s">
        <v>34</v>
      </c>
      <c r="C394" s="62">
        <v>0</v>
      </c>
      <c r="D394" s="63">
        <v>109697.34</v>
      </c>
      <c r="E394" s="63">
        <f>D394-G394</f>
        <v>98190.37999999999</v>
      </c>
      <c r="F394" s="63">
        <f>D394</f>
        <v>109697.34</v>
      </c>
      <c r="G394" s="63">
        <f>7643.3+3781.63+82.03</f>
        <v>11506.960000000001</v>
      </c>
      <c r="H394" s="285"/>
      <c r="I394" s="287"/>
      <c r="J394" s="288"/>
    </row>
    <row r="395" spans="1:10" ht="11.1" customHeight="1" x14ac:dyDescent="0.3">
      <c r="A395" s="40"/>
      <c r="B395" s="40"/>
      <c r="C395" s="64"/>
      <c r="D395" s="64"/>
      <c r="E395" s="64"/>
      <c r="F395" s="64"/>
      <c r="G395" s="153"/>
      <c r="H395" s="285"/>
      <c r="I395" s="287"/>
      <c r="J395" s="288"/>
    </row>
    <row r="396" spans="1:10" ht="11.1" customHeight="1" x14ac:dyDescent="0.3">
      <c r="A396" s="79" t="s">
        <v>22</v>
      </c>
      <c r="B396" s="182" t="s">
        <v>50</v>
      </c>
      <c r="C396" s="141">
        <f>24367.17-0</f>
        <v>24367.17</v>
      </c>
      <c r="D396" s="141">
        <v>205960.89</v>
      </c>
      <c r="E396" s="141">
        <f>C396+D396-G396</f>
        <v>212225.8</v>
      </c>
      <c r="F396" s="142">
        <v>92062.51</v>
      </c>
      <c r="G396" s="141">
        <f>21965.92-3781.63-82.03</f>
        <v>18102.259999999998</v>
      </c>
      <c r="H396" s="285"/>
      <c r="I396" s="287"/>
      <c r="J396" s="288"/>
    </row>
    <row r="397" spans="1:10" ht="11.1" customHeight="1" x14ac:dyDescent="0.3">
      <c r="A397" s="16"/>
      <c r="B397" s="202"/>
      <c r="C397" s="19"/>
      <c r="D397" s="19"/>
      <c r="E397" s="19"/>
      <c r="F397" s="241"/>
      <c r="G397" s="19"/>
      <c r="H397" s="285"/>
      <c r="I397" s="287"/>
      <c r="J397" s="288"/>
    </row>
    <row r="398" spans="1:10" ht="11.1" customHeight="1" x14ac:dyDescent="0.3">
      <c r="A398" s="81"/>
      <c r="B398" s="82" t="s">
        <v>74</v>
      </c>
      <c r="C398" s="90">
        <f>C396+C394+C392</f>
        <v>82164.91</v>
      </c>
      <c r="D398" s="90">
        <f>D396+D394+D392</f>
        <v>840511.38</v>
      </c>
      <c r="E398" s="90">
        <f>E396+E394+E392</f>
        <v>846364.5</v>
      </c>
      <c r="F398" s="90">
        <f>F396+F394+F392</f>
        <v>728266.8</v>
      </c>
      <c r="G398" s="90">
        <f>G396+G394+G392</f>
        <v>76311.790000000008</v>
      </c>
      <c r="H398" s="285"/>
      <c r="I398" s="287"/>
      <c r="J398" s="288"/>
    </row>
    <row r="399" spans="1:10" ht="11.1" customHeight="1" x14ac:dyDescent="0.3">
      <c r="A399" s="130"/>
      <c r="B399" s="36"/>
      <c r="C399" s="30"/>
      <c r="D399" s="36"/>
      <c r="E399" s="36"/>
      <c r="F399" s="36"/>
      <c r="G399" s="44"/>
      <c r="H399" s="285"/>
      <c r="I399" s="287"/>
      <c r="J399" s="288"/>
    </row>
    <row r="400" spans="1:10" ht="11.1" customHeight="1" x14ac:dyDescent="0.3">
      <c r="A400" s="318" t="s">
        <v>18</v>
      </c>
      <c r="B400" s="319"/>
      <c r="C400" s="319"/>
      <c r="D400" s="319"/>
      <c r="E400" s="319"/>
      <c r="F400" s="319"/>
      <c r="G400" s="45"/>
      <c r="H400" s="285"/>
      <c r="I400" s="287"/>
      <c r="J400" s="288"/>
    </row>
    <row r="401" spans="1:10" ht="11.1" customHeight="1" x14ac:dyDescent="0.3">
      <c r="A401" s="1"/>
      <c r="B401" s="2"/>
      <c r="C401" s="29" t="s">
        <v>19</v>
      </c>
      <c r="D401" s="29"/>
      <c r="E401" s="29"/>
      <c r="F401" s="31"/>
      <c r="G401" s="29" t="s">
        <v>19</v>
      </c>
      <c r="H401" s="285"/>
      <c r="I401" s="287"/>
      <c r="J401" s="288"/>
    </row>
    <row r="402" spans="1:10" ht="11.1" customHeight="1" x14ac:dyDescent="0.3">
      <c r="A402" s="1" t="s">
        <v>15</v>
      </c>
      <c r="B402" s="2" t="s">
        <v>1</v>
      </c>
      <c r="C402" s="24" t="s">
        <v>28</v>
      </c>
      <c r="D402" s="24" t="s">
        <v>2</v>
      </c>
      <c r="E402" s="24" t="s">
        <v>16</v>
      </c>
      <c r="F402" s="32" t="s">
        <v>27</v>
      </c>
      <c r="G402" s="24" t="s">
        <v>28</v>
      </c>
      <c r="H402" s="285"/>
      <c r="I402" s="287"/>
      <c r="J402" s="288"/>
    </row>
    <row r="403" spans="1:10" ht="11.1" customHeight="1" x14ac:dyDescent="0.3">
      <c r="A403" s="1" t="s">
        <v>0</v>
      </c>
      <c r="B403" s="2"/>
      <c r="C403" s="33" t="s">
        <v>24</v>
      </c>
      <c r="D403" s="33"/>
      <c r="E403" s="34"/>
      <c r="F403" s="35"/>
      <c r="G403" s="33" t="s">
        <v>30</v>
      </c>
      <c r="H403" s="285"/>
      <c r="I403" s="287"/>
      <c r="J403" s="288"/>
    </row>
    <row r="404" spans="1:10" ht="11.1" customHeight="1" x14ac:dyDescent="0.3">
      <c r="A404" s="47" t="s">
        <v>20</v>
      </c>
      <c r="B404" s="143" t="s">
        <v>21</v>
      </c>
      <c r="C404" s="38"/>
      <c r="D404" s="38"/>
      <c r="E404" s="38"/>
      <c r="F404" s="38"/>
      <c r="G404" s="38"/>
      <c r="H404" s="285"/>
      <c r="I404" s="287"/>
      <c r="J404" s="288"/>
    </row>
    <row r="405" spans="1:10" ht="11.1" customHeight="1" x14ac:dyDescent="0.3">
      <c r="A405" s="48"/>
      <c r="B405" s="40" t="s">
        <v>77</v>
      </c>
      <c r="C405" s="43">
        <v>85588.39</v>
      </c>
      <c r="D405" s="5">
        <v>766406.39</v>
      </c>
      <c r="E405" s="5">
        <f>C405+D405-G405</f>
        <v>749463.46</v>
      </c>
      <c r="F405" s="5">
        <v>683382.01</v>
      </c>
      <c r="G405" s="43">
        <v>102531.32</v>
      </c>
      <c r="H405" s="285"/>
      <c r="I405" s="287"/>
      <c r="J405" s="288"/>
    </row>
    <row r="406" spans="1:10" ht="11.1" customHeight="1" x14ac:dyDescent="0.3">
      <c r="A406" s="49"/>
      <c r="B406" s="40" t="s">
        <v>78</v>
      </c>
      <c r="C406" s="5">
        <f>16197.06+10887.07+1677.61</f>
        <v>28761.739999999998</v>
      </c>
      <c r="D406" s="5">
        <v>255205.17</v>
      </c>
      <c r="E406" s="5">
        <f>C406+D406-G406</f>
        <v>245695.12000000002</v>
      </c>
      <c r="F406" s="5">
        <f>49126.95+238204.48</f>
        <v>287331.43</v>
      </c>
      <c r="G406" s="5">
        <f>31491.68+6702.56+77.55</f>
        <v>38271.79</v>
      </c>
      <c r="H406" s="285"/>
      <c r="I406" s="287"/>
      <c r="J406" s="288"/>
    </row>
    <row r="407" spans="1:10" ht="11.1" customHeight="1" x14ac:dyDescent="0.3">
      <c r="A407" s="49"/>
      <c r="B407" s="135" t="s">
        <v>23</v>
      </c>
      <c r="C407" s="50">
        <f>SUM(C405:C406)</f>
        <v>114350.13</v>
      </c>
      <c r="D407" s="50">
        <f>SUM(D405:D406)</f>
        <v>1021611.56</v>
      </c>
      <c r="E407" s="50">
        <f>SUM(E405:E406)</f>
        <v>995158.58</v>
      </c>
      <c r="F407" s="50">
        <f>SUM(F405:F406)</f>
        <v>970713.44</v>
      </c>
      <c r="G407" s="50">
        <f>SUM(G405:G406)</f>
        <v>140803.11000000002</v>
      </c>
      <c r="H407" s="285"/>
      <c r="I407" s="287"/>
      <c r="J407" s="288"/>
    </row>
    <row r="408" spans="1:10" ht="11.1" customHeight="1" x14ac:dyDescent="0.3">
      <c r="A408" s="49"/>
      <c r="B408" s="138"/>
      <c r="C408" s="5"/>
      <c r="D408" s="14"/>
      <c r="E408" s="5"/>
      <c r="F408" s="14"/>
      <c r="G408" s="5"/>
      <c r="H408" s="285"/>
      <c r="I408" s="287"/>
      <c r="J408" s="288"/>
    </row>
    <row r="409" spans="1:10" ht="11.1" customHeight="1" x14ac:dyDescent="0.3">
      <c r="A409" s="101" t="s">
        <v>26</v>
      </c>
      <c r="B409" s="137" t="s">
        <v>29</v>
      </c>
      <c r="C409" s="58">
        <f>10058.01+9457.45</f>
        <v>19515.46</v>
      </c>
      <c r="D409" s="50">
        <f>103574.91+92575.44</f>
        <v>196150.35</v>
      </c>
      <c r="E409" s="50">
        <f>C409+D409-G409</f>
        <v>186519.65700000001</v>
      </c>
      <c r="F409" s="50">
        <f>D409</f>
        <v>196150.35</v>
      </c>
      <c r="G409" s="50">
        <f>15629.81+13516.343</f>
        <v>29146.152999999998</v>
      </c>
      <c r="H409" s="285"/>
      <c r="I409" s="287"/>
      <c r="J409" s="288"/>
    </row>
    <row r="410" spans="1:10" ht="11.1" customHeight="1" x14ac:dyDescent="0.3">
      <c r="A410" s="39"/>
      <c r="B410" s="135"/>
      <c r="C410" s="43"/>
      <c r="D410" s="50"/>
      <c r="E410" s="50"/>
      <c r="F410" s="50"/>
      <c r="G410" s="50"/>
      <c r="H410" s="285"/>
      <c r="I410" s="287"/>
      <c r="J410" s="288"/>
    </row>
    <row r="411" spans="1:10" ht="11.1" customHeight="1" x14ac:dyDescent="0.3">
      <c r="A411" s="101" t="s">
        <v>22</v>
      </c>
      <c r="B411" s="145" t="s">
        <v>69</v>
      </c>
      <c r="C411" s="50">
        <v>25531.78</v>
      </c>
      <c r="D411" s="78">
        <v>66263.92</v>
      </c>
      <c r="E411" s="50">
        <v>70762.02</v>
      </c>
      <c r="F411" s="50">
        <f>76122.7+14998.44</f>
        <v>91121.14</v>
      </c>
      <c r="G411" s="50">
        <f>C411+D411-E411</f>
        <v>21033.679999999993</v>
      </c>
      <c r="H411" s="285"/>
      <c r="I411" s="287"/>
      <c r="J411" s="288"/>
    </row>
    <row r="412" spans="1:10" ht="11.1" customHeight="1" x14ac:dyDescent="0.3">
      <c r="A412" s="41"/>
      <c r="B412" s="146"/>
      <c r="C412" s="10"/>
      <c r="D412" s="15"/>
      <c r="E412" s="10"/>
      <c r="F412" s="10"/>
      <c r="G412" s="10"/>
      <c r="H412" s="285"/>
      <c r="I412" s="287"/>
      <c r="J412" s="288"/>
    </row>
    <row r="413" spans="1:10" ht="11.1" customHeight="1" x14ac:dyDescent="0.3">
      <c r="A413" s="180"/>
      <c r="B413" s="94" t="s">
        <v>74</v>
      </c>
      <c r="C413" s="91">
        <f>C411+C409+C407</f>
        <v>159397.37</v>
      </c>
      <c r="D413" s="91">
        <f>D411+D409+D407</f>
        <v>1284025.83</v>
      </c>
      <c r="E413" s="91">
        <f>E411+E409+E407</f>
        <v>1252440.257</v>
      </c>
      <c r="F413" s="91">
        <f>F411+F409+F407</f>
        <v>1257984.93</v>
      </c>
      <c r="G413" s="91">
        <f>G411+G409+G407</f>
        <v>190982.943</v>
      </c>
      <c r="H413" s="285"/>
      <c r="I413" s="287"/>
      <c r="J413" s="288"/>
    </row>
    <row r="414" spans="1:10" ht="11.1" customHeight="1" x14ac:dyDescent="0.3">
      <c r="A414" s="148"/>
      <c r="B414" s="148"/>
      <c r="C414" s="148"/>
      <c r="D414" s="148"/>
      <c r="E414" s="148"/>
      <c r="F414" s="181"/>
      <c r="G414" s="148"/>
      <c r="H414" s="285"/>
      <c r="I414" s="287"/>
      <c r="J414" s="288"/>
    </row>
    <row r="415" spans="1:10" ht="11.1" customHeight="1" x14ac:dyDescent="0.3">
      <c r="A415" s="148"/>
      <c r="B415" s="148"/>
      <c r="C415" s="148"/>
      <c r="D415" s="148"/>
      <c r="E415" s="148"/>
      <c r="F415" s="181"/>
      <c r="G415" s="148"/>
      <c r="H415" s="285"/>
      <c r="I415" s="287"/>
      <c r="J415" s="288"/>
    </row>
    <row r="416" spans="1:10" ht="11.1" customHeight="1" x14ac:dyDescent="0.3">
      <c r="A416" s="148"/>
      <c r="B416" s="148"/>
      <c r="C416" s="148"/>
      <c r="D416" s="148"/>
      <c r="E416" s="148"/>
      <c r="F416" s="181"/>
      <c r="G416" s="148"/>
      <c r="H416" s="285"/>
      <c r="I416" s="287"/>
      <c r="J416" s="288"/>
    </row>
    <row r="417" spans="1:10" ht="11.1" customHeight="1" x14ac:dyDescent="0.3">
      <c r="A417" s="148"/>
      <c r="B417" s="148"/>
      <c r="C417" s="148"/>
      <c r="D417" s="148"/>
      <c r="E417" s="148"/>
      <c r="F417" s="181"/>
      <c r="G417" s="148"/>
      <c r="H417" s="285"/>
      <c r="I417" s="287"/>
      <c r="J417" s="288"/>
    </row>
    <row r="418" spans="1:10" ht="11.1" customHeight="1" x14ac:dyDescent="0.3">
      <c r="A418" s="148"/>
      <c r="B418" s="148"/>
      <c r="C418" s="148"/>
      <c r="D418" s="148"/>
      <c r="E418" s="148"/>
      <c r="F418" s="181"/>
      <c r="G418" s="148"/>
      <c r="H418" s="285"/>
      <c r="I418" s="287"/>
      <c r="J418" s="288"/>
    </row>
    <row r="419" spans="1:10" ht="11.1" customHeight="1" x14ac:dyDescent="0.3">
      <c r="A419" s="148"/>
      <c r="B419" s="148"/>
      <c r="C419" s="148"/>
      <c r="D419" s="148"/>
      <c r="E419" s="148"/>
      <c r="F419" s="181"/>
      <c r="G419" s="148"/>
      <c r="H419" s="285"/>
      <c r="I419" s="287"/>
      <c r="J419" s="288"/>
    </row>
    <row r="420" spans="1:10" ht="11.1" customHeight="1" x14ac:dyDescent="0.3">
      <c r="A420" s="148"/>
      <c r="B420" s="148"/>
      <c r="C420" s="148"/>
      <c r="D420" s="148"/>
      <c r="E420" s="148"/>
      <c r="F420" s="181"/>
      <c r="G420" s="148"/>
      <c r="H420" s="285"/>
      <c r="I420" s="287"/>
      <c r="J420" s="288"/>
    </row>
    <row r="421" spans="1:10" ht="11.1" customHeight="1" x14ac:dyDescent="0.3">
      <c r="A421" s="148"/>
      <c r="B421" s="148"/>
      <c r="C421" s="148"/>
      <c r="D421" s="148"/>
      <c r="E421" s="148"/>
      <c r="F421" s="181"/>
      <c r="G421" s="148"/>
      <c r="H421" s="285"/>
      <c r="I421" s="287"/>
      <c r="J421" s="288"/>
    </row>
    <row r="422" spans="1:10" ht="11.1" customHeight="1" x14ac:dyDescent="0.3">
      <c r="A422" s="148"/>
      <c r="B422" s="148"/>
      <c r="C422" s="148"/>
      <c r="D422" s="148"/>
      <c r="E422" s="148"/>
      <c r="F422" s="181"/>
      <c r="G422" s="148"/>
      <c r="H422" s="285"/>
      <c r="I422" s="287"/>
      <c r="J422" s="288"/>
    </row>
    <row r="423" spans="1:10" ht="11.1" customHeight="1" x14ac:dyDescent="0.3">
      <c r="A423" s="148"/>
      <c r="B423" s="148"/>
      <c r="C423" s="148"/>
      <c r="D423" s="148"/>
      <c r="E423" s="148"/>
      <c r="F423" s="181"/>
      <c r="G423" s="148"/>
      <c r="H423" s="285"/>
      <c r="I423" s="287"/>
      <c r="J423" s="288"/>
    </row>
    <row r="424" spans="1:10" ht="11.1" customHeight="1" x14ac:dyDescent="0.3">
      <c r="A424" s="148"/>
      <c r="B424" s="148"/>
      <c r="C424" s="148"/>
      <c r="D424" s="148"/>
      <c r="E424" s="148"/>
      <c r="F424" s="181"/>
      <c r="G424" s="148"/>
      <c r="H424" s="285"/>
      <c r="I424" s="287"/>
      <c r="J424" s="288"/>
    </row>
    <row r="425" spans="1:10" ht="11.1" customHeight="1" x14ac:dyDescent="0.3">
      <c r="A425" s="305" t="s">
        <v>6</v>
      </c>
      <c r="B425" s="305"/>
      <c r="C425" s="305"/>
      <c r="D425" s="305"/>
      <c r="E425" s="305"/>
      <c r="F425" s="305"/>
      <c r="G425" s="305"/>
      <c r="H425" s="285"/>
      <c r="I425" s="287"/>
      <c r="J425" s="288"/>
    </row>
    <row r="426" spans="1:10" ht="11.1" customHeight="1" x14ac:dyDescent="0.3">
      <c r="A426" s="305" t="s">
        <v>35</v>
      </c>
      <c r="B426" s="305"/>
      <c r="C426" s="305"/>
      <c r="D426" s="305"/>
      <c r="E426" s="305"/>
      <c r="F426" s="305"/>
      <c r="G426" s="305"/>
      <c r="H426" s="285"/>
      <c r="I426" s="287"/>
      <c r="J426" s="288"/>
    </row>
    <row r="427" spans="1:10" ht="11.1" customHeight="1" x14ac:dyDescent="0.3">
      <c r="A427" s="311" t="s">
        <v>36</v>
      </c>
      <c r="B427" s="311"/>
      <c r="C427" s="311"/>
      <c r="D427" s="311"/>
      <c r="E427" s="311"/>
      <c r="F427" s="311"/>
      <c r="G427" s="311"/>
      <c r="H427" s="285"/>
      <c r="I427" s="287"/>
      <c r="J427" s="288"/>
    </row>
    <row r="428" spans="1:10" ht="11.1" customHeight="1" x14ac:dyDescent="0.3">
      <c r="A428" s="339" t="s">
        <v>45</v>
      </c>
      <c r="B428" s="340"/>
      <c r="C428" s="340"/>
      <c r="D428" s="340"/>
      <c r="E428" s="340"/>
      <c r="F428" s="340"/>
      <c r="G428" s="341"/>
      <c r="H428" s="285"/>
      <c r="I428" s="287"/>
      <c r="J428" s="288"/>
    </row>
    <row r="429" spans="1:10" ht="11.1" customHeight="1" x14ac:dyDescent="0.3">
      <c r="A429" s="25"/>
      <c r="B429" s="292" t="s">
        <v>3</v>
      </c>
      <c r="C429" s="293"/>
      <c r="D429" s="293"/>
      <c r="E429" s="293"/>
      <c r="F429" s="293"/>
      <c r="G429" s="294"/>
      <c r="H429" s="285"/>
      <c r="I429" s="287"/>
      <c r="J429" s="288"/>
    </row>
    <row r="430" spans="1:10" ht="11.1" customHeight="1" x14ac:dyDescent="0.3">
      <c r="A430" s="26">
        <v>1</v>
      </c>
      <c r="B430" s="295" t="s">
        <v>4</v>
      </c>
      <c r="C430" s="296"/>
      <c r="D430" s="296"/>
      <c r="E430" s="297"/>
      <c r="F430" s="298">
        <v>1980</v>
      </c>
      <c r="G430" s="299"/>
      <c r="H430" s="285"/>
      <c r="I430" s="287"/>
      <c r="J430" s="288"/>
    </row>
    <row r="431" spans="1:10" ht="11.1" customHeight="1" x14ac:dyDescent="0.3">
      <c r="A431" s="27">
        <v>2</v>
      </c>
      <c r="B431" s="300" t="s">
        <v>12</v>
      </c>
      <c r="C431" s="301"/>
      <c r="D431" s="301"/>
      <c r="E431" s="302"/>
      <c r="F431" s="303">
        <v>9</v>
      </c>
      <c r="G431" s="304"/>
      <c r="H431" s="285"/>
      <c r="I431" s="287"/>
      <c r="J431" s="288"/>
    </row>
    <row r="432" spans="1:10" ht="11.1" customHeight="1" x14ac:dyDescent="0.3">
      <c r="A432" s="27">
        <v>3</v>
      </c>
      <c r="B432" s="300" t="s">
        <v>14</v>
      </c>
      <c r="C432" s="301"/>
      <c r="D432" s="301"/>
      <c r="E432" s="302"/>
      <c r="F432" s="303">
        <v>2</v>
      </c>
      <c r="G432" s="304"/>
      <c r="H432" s="285"/>
      <c r="I432" s="287"/>
      <c r="J432" s="288"/>
    </row>
    <row r="433" spans="1:10" ht="11.1" customHeight="1" x14ac:dyDescent="0.3">
      <c r="A433" s="27">
        <v>4</v>
      </c>
      <c r="B433" s="300" t="s">
        <v>13</v>
      </c>
      <c r="C433" s="301"/>
      <c r="D433" s="301"/>
      <c r="E433" s="302"/>
      <c r="F433" s="303">
        <v>72</v>
      </c>
      <c r="G433" s="304"/>
      <c r="H433" s="285"/>
      <c r="I433" s="287"/>
      <c r="J433" s="288"/>
    </row>
    <row r="434" spans="1:10" ht="11.1" customHeight="1" x14ac:dyDescent="0.3">
      <c r="A434" s="27">
        <v>5</v>
      </c>
      <c r="B434" s="300" t="s">
        <v>10</v>
      </c>
      <c r="C434" s="301"/>
      <c r="D434" s="301"/>
      <c r="E434" s="302"/>
      <c r="F434" s="303">
        <v>594.6</v>
      </c>
      <c r="G434" s="304"/>
      <c r="H434" s="285"/>
      <c r="I434" s="287"/>
      <c r="J434" s="288"/>
    </row>
    <row r="435" spans="1:10" ht="11.1" customHeight="1" x14ac:dyDescent="0.3">
      <c r="A435" s="27">
        <v>6</v>
      </c>
      <c r="B435" s="300" t="s">
        <v>11</v>
      </c>
      <c r="C435" s="301"/>
      <c r="D435" s="301"/>
      <c r="E435" s="302"/>
      <c r="F435" s="335">
        <v>3825</v>
      </c>
      <c r="G435" s="336"/>
      <c r="H435" s="285"/>
      <c r="I435" s="287"/>
      <c r="J435" s="288"/>
    </row>
    <row r="436" spans="1:10" ht="11.1" customHeight="1" x14ac:dyDescent="0.3">
      <c r="A436" s="28">
        <v>7</v>
      </c>
      <c r="B436" s="306" t="s">
        <v>9</v>
      </c>
      <c r="C436" s="307"/>
      <c r="D436" s="307"/>
      <c r="E436" s="308"/>
      <c r="F436" s="309">
        <v>0</v>
      </c>
      <c r="G436" s="310"/>
      <c r="H436" s="285"/>
      <c r="I436" s="287"/>
      <c r="J436" s="288"/>
    </row>
    <row r="437" spans="1:10" ht="11.1" customHeight="1" x14ac:dyDescent="0.3">
      <c r="A437" s="255"/>
      <c r="B437" s="251"/>
      <c r="C437" s="251"/>
      <c r="D437" s="251"/>
      <c r="E437" s="251"/>
      <c r="F437" s="256"/>
      <c r="G437" s="250"/>
      <c r="H437" s="285"/>
      <c r="I437" s="287"/>
      <c r="J437" s="288"/>
    </row>
    <row r="438" spans="1:10" ht="11.1" customHeight="1" x14ac:dyDescent="0.3">
      <c r="A438" s="315" t="s">
        <v>99</v>
      </c>
      <c r="B438" s="316"/>
      <c r="C438" s="316"/>
      <c r="D438" s="316"/>
      <c r="E438" s="316"/>
      <c r="F438" s="316"/>
      <c r="G438" s="317"/>
      <c r="H438" s="285"/>
      <c r="I438" s="287"/>
      <c r="J438" s="288"/>
    </row>
    <row r="439" spans="1:10" ht="11.1" customHeight="1" x14ac:dyDescent="0.3">
      <c r="A439" s="29"/>
      <c r="B439" s="30"/>
      <c r="C439" s="29" t="s">
        <v>19</v>
      </c>
      <c r="D439" s="29"/>
      <c r="E439" s="29"/>
      <c r="F439" s="31"/>
      <c r="G439" s="29" t="s">
        <v>19</v>
      </c>
      <c r="H439" s="285"/>
      <c r="I439" s="287"/>
      <c r="J439" s="288"/>
    </row>
    <row r="440" spans="1:10" ht="11.1" customHeight="1" x14ac:dyDescent="0.3">
      <c r="A440" s="24"/>
      <c r="B440" s="2" t="s">
        <v>1</v>
      </c>
      <c r="C440" s="24" t="s">
        <v>28</v>
      </c>
      <c r="D440" s="24" t="s">
        <v>2</v>
      </c>
      <c r="E440" s="24" t="s">
        <v>16</v>
      </c>
      <c r="F440" s="32" t="s">
        <v>27</v>
      </c>
      <c r="G440" s="24" t="s">
        <v>28</v>
      </c>
      <c r="H440" s="285"/>
      <c r="I440" s="287"/>
      <c r="J440" s="288"/>
    </row>
    <row r="441" spans="1:10" ht="11.1" customHeight="1" x14ac:dyDescent="0.3">
      <c r="A441" s="33"/>
      <c r="B441" s="129"/>
      <c r="C441" s="33" t="s">
        <v>24</v>
      </c>
      <c r="D441" s="33"/>
      <c r="E441" s="34"/>
      <c r="F441" s="35"/>
      <c r="G441" s="33" t="s">
        <v>30</v>
      </c>
      <c r="H441" s="285"/>
      <c r="I441" s="287"/>
      <c r="J441" s="288"/>
    </row>
    <row r="442" spans="1:10" ht="11.1" customHeight="1" x14ac:dyDescent="0.3">
      <c r="A442" s="37" t="s">
        <v>20</v>
      </c>
      <c r="B442" s="131" t="s">
        <v>33</v>
      </c>
      <c r="C442" s="42"/>
      <c r="D442" s="42"/>
      <c r="E442" s="38"/>
      <c r="F442" s="38"/>
      <c r="G442" s="38"/>
      <c r="H442" s="285"/>
      <c r="I442" s="287"/>
      <c r="J442" s="288"/>
    </row>
    <row r="443" spans="1:10" ht="11.1" customHeight="1" x14ac:dyDescent="0.3">
      <c r="A443" s="101"/>
      <c r="B443" s="132" t="s">
        <v>7</v>
      </c>
      <c r="C443" s="62">
        <v>105505.47</v>
      </c>
      <c r="D443" s="62">
        <v>655317.17000000004</v>
      </c>
      <c r="E443" s="62">
        <f>C443+D443-G443</f>
        <v>648100.19000000006</v>
      </c>
      <c r="F443" s="62"/>
      <c r="G443" s="62">
        <f>124824.81-12102.36</f>
        <v>112722.45</v>
      </c>
      <c r="H443" s="285"/>
      <c r="I443" s="287"/>
      <c r="J443" s="288"/>
    </row>
    <row r="444" spans="1:10" ht="11.1" customHeight="1" x14ac:dyDescent="0.3">
      <c r="A444" s="101"/>
      <c r="B444" s="132" t="s">
        <v>17</v>
      </c>
      <c r="C444" s="86">
        <f>D444/12</f>
        <v>630</v>
      </c>
      <c r="D444" s="62">
        <v>7560</v>
      </c>
      <c r="E444" s="62">
        <f>C444+D444-G444</f>
        <v>7509.6</v>
      </c>
      <c r="F444" s="62"/>
      <c r="G444" s="62">
        <f>D444*9%</f>
        <v>680.4</v>
      </c>
      <c r="H444" s="285"/>
      <c r="I444" s="287"/>
      <c r="J444" s="288"/>
    </row>
    <row r="445" spans="1:10" ht="11.1" customHeight="1" x14ac:dyDescent="0.3">
      <c r="A445" s="101"/>
      <c r="B445" s="135" t="s">
        <v>23</v>
      </c>
      <c r="C445" s="63">
        <f>SUM(C443:C444)</f>
        <v>106135.47</v>
      </c>
      <c r="D445" s="63">
        <f>SUM(D443:D444)</f>
        <v>662877.17000000004</v>
      </c>
      <c r="E445" s="63">
        <f>SUM(E443:E444)</f>
        <v>655609.79</v>
      </c>
      <c r="F445" s="63">
        <f>D445+2133.22</f>
        <v>665010.39</v>
      </c>
      <c r="G445" s="63">
        <f>SUM(G443:G444)</f>
        <v>113402.84999999999</v>
      </c>
      <c r="H445" s="285"/>
      <c r="I445" s="287"/>
      <c r="J445" s="288"/>
    </row>
    <row r="446" spans="1:10" ht="11.1" customHeight="1" x14ac:dyDescent="0.3">
      <c r="A446" s="101"/>
      <c r="B446" s="135"/>
      <c r="C446" s="68"/>
      <c r="D446" s="62"/>
      <c r="E446" s="62"/>
      <c r="F446" s="62"/>
      <c r="G446" s="62"/>
      <c r="H446" s="285"/>
      <c r="I446" s="287"/>
      <c r="J446" s="288"/>
    </row>
    <row r="447" spans="1:10" ht="11.1" customHeight="1" x14ac:dyDescent="0.3">
      <c r="A447" s="39">
        <v>2</v>
      </c>
      <c r="B447" s="152" t="s">
        <v>34</v>
      </c>
      <c r="C447" s="62">
        <v>0</v>
      </c>
      <c r="D447" s="63">
        <v>141486.42000000001</v>
      </c>
      <c r="E447" s="62">
        <f>D447-G447</f>
        <v>123266.44000000002</v>
      </c>
      <c r="F447" s="63">
        <f>D447</f>
        <v>141486.42000000001</v>
      </c>
      <c r="G447" s="63">
        <f>12102.36+5856.39+261.23</f>
        <v>18219.98</v>
      </c>
      <c r="H447" s="285"/>
      <c r="I447" s="287"/>
      <c r="J447" s="288"/>
    </row>
    <row r="448" spans="1:10" ht="11.1" customHeight="1" x14ac:dyDescent="0.3">
      <c r="A448" s="40"/>
      <c r="B448" s="40"/>
      <c r="C448" s="64"/>
      <c r="D448" s="64"/>
      <c r="E448" s="64"/>
      <c r="F448" s="64"/>
      <c r="G448" s="64"/>
      <c r="H448" s="285"/>
      <c r="I448" s="287"/>
      <c r="J448" s="288"/>
    </row>
    <row r="449" spans="1:10" ht="11.1" customHeight="1" x14ac:dyDescent="0.3">
      <c r="A449" s="79" t="s">
        <v>22</v>
      </c>
      <c r="B449" s="182" t="s">
        <v>50</v>
      </c>
      <c r="C449" s="141">
        <v>43882.97</v>
      </c>
      <c r="D449" s="141">
        <v>265653.53999999998</v>
      </c>
      <c r="E449" s="141">
        <f>C449+D449-G449</f>
        <v>264803.06</v>
      </c>
      <c r="F449" s="142">
        <v>319081.08</v>
      </c>
      <c r="G449" s="141">
        <f>50851.07-5856.39-261.23</f>
        <v>44733.45</v>
      </c>
      <c r="H449" s="285"/>
      <c r="I449" s="287"/>
      <c r="J449" s="288"/>
    </row>
    <row r="450" spans="1:10" ht="11.1" customHeight="1" x14ac:dyDescent="0.3">
      <c r="A450" s="16"/>
      <c r="B450" s="202"/>
      <c r="C450" s="242"/>
      <c r="D450" s="242"/>
      <c r="E450" s="242"/>
      <c r="F450" s="243"/>
      <c r="G450" s="242"/>
      <c r="H450" s="285"/>
      <c r="I450" s="287"/>
      <c r="J450" s="288"/>
    </row>
    <row r="451" spans="1:10" ht="11.1" customHeight="1" x14ac:dyDescent="0.3">
      <c r="A451" s="81"/>
      <c r="B451" s="82" t="s">
        <v>74</v>
      </c>
      <c r="C451" s="90">
        <f>C449+C447+C445</f>
        <v>150018.44</v>
      </c>
      <c r="D451" s="90">
        <f>D449+D447+D445</f>
        <v>1070017.1299999999</v>
      </c>
      <c r="E451" s="90">
        <f>E449+E447+E445</f>
        <v>1043679.29</v>
      </c>
      <c r="F451" s="90">
        <f>F449+F447+F445</f>
        <v>1125577.8900000001</v>
      </c>
      <c r="G451" s="90">
        <f>G449+G447+G445</f>
        <v>176356.27999999997</v>
      </c>
      <c r="H451" s="285"/>
      <c r="I451" s="287"/>
      <c r="J451" s="288"/>
    </row>
    <row r="452" spans="1:10" ht="11.1" customHeight="1" x14ac:dyDescent="0.3">
      <c r="A452" s="130"/>
      <c r="B452" s="36"/>
      <c r="C452" s="30"/>
      <c r="D452" s="36"/>
      <c r="E452" s="36"/>
      <c r="F452" s="36"/>
      <c r="G452" s="44"/>
      <c r="H452" s="285"/>
      <c r="I452" s="287"/>
      <c r="J452" s="288"/>
    </row>
    <row r="453" spans="1:10" ht="11.1" customHeight="1" x14ac:dyDescent="0.3">
      <c r="A453" s="318" t="s">
        <v>18</v>
      </c>
      <c r="B453" s="319"/>
      <c r="C453" s="319"/>
      <c r="D453" s="319"/>
      <c r="E453" s="319"/>
      <c r="F453" s="319"/>
      <c r="G453" s="45"/>
      <c r="H453" s="285"/>
      <c r="I453" s="287"/>
      <c r="J453" s="288"/>
    </row>
    <row r="454" spans="1:10" ht="11.1" customHeight="1" x14ac:dyDescent="0.3">
      <c r="A454" s="1"/>
      <c r="B454" s="2"/>
      <c r="C454" s="29" t="s">
        <v>19</v>
      </c>
      <c r="D454" s="29"/>
      <c r="E454" s="29"/>
      <c r="F454" s="31"/>
      <c r="G454" s="29" t="s">
        <v>19</v>
      </c>
      <c r="H454" s="285"/>
      <c r="I454" s="287"/>
      <c r="J454" s="288"/>
    </row>
    <row r="455" spans="1:10" ht="11.1" customHeight="1" x14ac:dyDescent="0.3">
      <c r="A455" s="1" t="s">
        <v>15</v>
      </c>
      <c r="B455" s="2" t="s">
        <v>1</v>
      </c>
      <c r="C455" s="24" t="s">
        <v>28</v>
      </c>
      <c r="D455" s="24" t="s">
        <v>2</v>
      </c>
      <c r="E455" s="24" t="s">
        <v>16</v>
      </c>
      <c r="F455" s="32" t="s">
        <v>27</v>
      </c>
      <c r="G455" s="24" t="s">
        <v>28</v>
      </c>
      <c r="H455" s="285"/>
      <c r="I455" s="287"/>
      <c r="J455" s="288"/>
    </row>
    <row r="456" spans="1:10" ht="11.1" customHeight="1" x14ac:dyDescent="0.3">
      <c r="A456" s="1" t="s">
        <v>0</v>
      </c>
      <c r="B456" s="2"/>
      <c r="C456" s="33" t="s">
        <v>24</v>
      </c>
      <c r="D456" s="33"/>
      <c r="E456" s="34"/>
      <c r="F456" s="35"/>
      <c r="G456" s="33" t="s">
        <v>30</v>
      </c>
      <c r="H456" s="285"/>
      <c r="I456" s="287"/>
      <c r="J456" s="288"/>
    </row>
    <row r="457" spans="1:10" ht="11.1" customHeight="1" x14ac:dyDescent="0.3">
      <c r="A457" s="47" t="s">
        <v>20</v>
      </c>
      <c r="B457" s="143" t="s">
        <v>21</v>
      </c>
      <c r="C457" s="38"/>
      <c r="D457" s="38"/>
      <c r="E457" s="38"/>
      <c r="F457" s="38"/>
      <c r="G457" s="38"/>
      <c r="H457" s="285"/>
      <c r="I457" s="287"/>
      <c r="J457" s="288"/>
    </row>
    <row r="458" spans="1:10" ht="11.1" customHeight="1" x14ac:dyDescent="0.3">
      <c r="A458" s="48"/>
      <c r="B458" s="40" t="s">
        <v>70</v>
      </c>
      <c r="C458" s="43">
        <v>152434.82</v>
      </c>
      <c r="D458" s="5">
        <v>1019176.15</v>
      </c>
      <c r="E458" s="5">
        <f>C458+D458-G458</f>
        <v>969451.92999999993</v>
      </c>
      <c r="F458" s="5">
        <v>1004353.91</v>
      </c>
      <c r="G458" s="43">
        <f>202159.04</f>
        <v>202159.04</v>
      </c>
      <c r="H458" s="285"/>
      <c r="I458" s="287"/>
      <c r="J458" s="288"/>
    </row>
    <row r="459" spans="1:10" ht="11.1" customHeight="1" x14ac:dyDescent="0.3">
      <c r="A459" s="49"/>
      <c r="B459" s="40" t="s">
        <v>88</v>
      </c>
      <c r="C459" s="5">
        <f>51209.53+13968.21+5969.69</f>
        <v>71147.429999999993</v>
      </c>
      <c r="D459" s="5">
        <v>484332.59</v>
      </c>
      <c r="E459" s="5">
        <f>C459+D459-G459</f>
        <v>443169.57</v>
      </c>
      <c r="F459" s="5">
        <f>108613.74+416649.23</f>
        <v>525262.97</v>
      </c>
      <c r="G459" s="5">
        <f>95450.13+11925.82+4934.5</f>
        <v>112310.45000000001</v>
      </c>
      <c r="H459" s="285"/>
      <c r="I459" s="287"/>
      <c r="J459" s="288"/>
    </row>
    <row r="460" spans="1:10" ht="11.1" customHeight="1" x14ac:dyDescent="0.3">
      <c r="A460" s="49"/>
      <c r="B460" s="135" t="s">
        <v>23</v>
      </c>
      <c r="C460" s="50">
        <f>SUM(C458:C459)</f>
        <v>223582.25</v>
      </c>
      <c r="D460" s="50">
        <f>SUM(D458:D459)</f>
        <v>1503508.74</v>
      </c>
      <c r="E460" s="50">
        <f>SUM(E458:E459)</f>
        <v>1412621.5</v>
      </c>
      <c r="F460" s="50">
        <f>SUM(F458:F459)</f>
        <v>1529616.88</v>
      </c>
      <c r="G460" s="50">
        <f>SUM(G458:G459)</f>
        <v>314469.49</v>
      </c>
      <c r="H460" s="285"/>
      <c r="I460" s="287"/>
      <c r="J460" s="288"/>
    </row>
    <row r="461" spans="1:10" ht="11.1" customHeight="1" x14ac:dyDescent="0.3">
      <c r="A461" s="49"/>
      <c r="B461" s="138"/>
      <c r="C461" s="5"/>
      <c r="D461" s="14"/>
      <c r="E461" s="5"/>
      <c r="F461" s="14"/>
      <c r="G461" s="5"/>
      <c r="H461" s="285"/>
      <c r="I461" s="287"/>
      <c r="J461" s="288"/>
    </row>
    <row r="462" spans="1:10" ht="11.1" customHeight="1" x14ac:dyDescent="0.3">
      <c r="A462" s="101" t="s">
        <v>26</v>
      </c>
      <c r="B462" s="137" t="s">
        <v>87</v>
      </c>
      <c r="C462" s="43">
        <f>28212.47+24003.21</f>
        <v>52215.68</v>
      </c>
      <c r="D462" s="5">
        <f>161541.86+150624.01</f>
        <v>312165.87</v>
      </c>
      <c r="E462" s="5">
        <f>C462+D462-G462</f>
        <v>309724.19999999995</v>
      </c>
      <c r="F462" s="5">
        <f>D462</f>
        <v>312165.87</v>
      </c>
      <c r="G462" s="5">
        <f>29132.36+25524.99</f>
        <v>54657.350000000006</v>
      </c>
      <c r="H462" s="285"/>
      <c r="I462" s="287"/>
      <c r="J462" s="288"/>
    </row>
    <row r="463" spans="1:10" ht="11.1" customHeight="1" x14ac:dyDescent="0.3">
      <c r="A463" s="39"/>
      <c r="B463" s="135"/>
      <c r="C463" s="43"/>
      <c r="D463" s="50"/>
      <c r="E463" s="50"/>
      <c r="F463" s="50"/>
      <c r="G463" s="50"/>
      <c r="H463" s="285"/>
      <c r="I463" s="287"/>
      <c r="J463" s="288"/>
    </row>
    <row r="464" spans="1:10" ht="11.1" customHeight="1" x14ac:dyDescent="0.3">
      <c r="A464" s="101" t="s">
        <v>22</v>
      </c>
      <c r="B464" s="183" t="s">
        <v>5</v>
      </c>
      <c r="C464" s="52">
        <f>8041.1</f>
        <v>8041.1</v>
      </c>
      <c r="D464" s="92">
        <v>86396.22</v>
      </c>
      <c r="E464" s="52">
        <f>C464+D464-G464</f>
        <v>83394.990000000005</v>
      </c>
      <c r="F464" s="52">
        <f>D464</f>
        <v>86396.22</v>
      </c>
      <c r="G464" s="52">
        <v>11042.33</v>
      </c>
      <c r="H464" s="285"/>
      <c r="I464" s="287"/>
      <c r="J464" s="288"/>
    </row>
    <row r="465" spans="1:10" ht="11.1" customHeight="1" x14ac:dyDescent="0.3">
      <c r="A465" s="1"/>
      <c r="B465" s="201"/>
      <c r="C465" s="17"/>
      <c r="D465" s="107"/>
      <c r="E465" s="17"/>
      <c r="F465" s="17"/>
      <c r="G465" s="17"/>
      <c r="H465" s="285"/>
      <c r="I465" s="287"/>
      <c r="J465" s="288"/>
    </row>
    <row r="466" spans="1:10" ht="11.1" customHeight="1" x14ac:dyDescent="0.3">
      <c r="A466" s="81"/>
      <c r="B466" s="82" t="s">
        <v>74</v>
      </c>
      <c r="C466" s="90">
        <f>SUM(C460:C464)</f>
        <v>283839.02999999997</v>
      </c>
      <c r="D466" s="90">
        <f>SUM(D460:D464)</f>
        <v>1902070.8299999998</v>
      </c>
      <c r="E466" s="90">
        <f>SUM(E460:E464)</f>
        <v>1805740.69</v>
      </c>
      <c r="F466" s="90">
        <f>SUM(F460:F464)</f>
        <v>1928178.97</v>
      </c>
      <c r="G466" s="90">
        <f>SUM(G460:G464)</f>
        <v>380169.17</v>
      </c>
      <c r="H466" s="285"/>
      <c r="I466" s="287"/>
      <c r="J466" s="288"/>
    </row>
    <row r="467" spans="1:10" ht="11.1" customHeight="1" x14ac:dyDescent="0.3">
      <c r="A467" s="148"/>
      <c r="B467" s="148"/>
      <c r="C467" s="148"/>
      <c r="D467" s="148"/>
      <c r="E467" s="148"/>
      <c r="F467" s="148"/>
      <c r="G467" s="148"/>
      <c r="H467" s="285"/>
      <c r="I467" s="287"/>
      <c r="J467" s="288"/>
    </row>
    <row r="468" spans="1:10" ht="11.1" customHeight="1" x14ac:dyDescent="0.3">
      <c r="A468" s="148"/>
      <c r="B468" s="148"/>
      <c r="C468" s="148"/>
      <c r="D468" s="148"/>
      <c r="E468" s="148"/>
      <c r="F468" s="148"/>
      <c r="G468" s="148"/>
      <c r="H468" s="285"/>
      <c r="I468" s="287"/>
      <c r="J468" s="288"/>
    </row>
    <row r="469" spans="1:10" ht="11.1" customHeight="1" x14ac:dyDescent="0.3">
      <c r="A469" s="148"/>
      <c r="B469" s="148"/>
      <c r="C469" s="148"/>
      <c r="D469" s="148"/>
      <c r="E469" s="148"/>
      <c r="F469" s="148"/>
      <c r="G469" s="148"/>
      <c r="H469" s="285"/>
      <c r="I469" s="287"/>
      <c r="J469" s="288"/>
    </row>
    <row r="470" spans="1:10" ht="11.1" customHeight="1" x14ac:dyDescent="0.3">
      <c r="A470" s="148"/>
      <c r="B470" s="148"/>
      <c r="C470" s="148"/>
      <c r="D470" s="148"/>
      <c r="E470" s="148"/>
      <c r="F470" s="148"/>
      <c r="G470" s="148"/>
      <c r="H470" s="285"/>
      <c r="I470" s="287"/>
      <c r="J470" s="288"/>
    </row>
    <row r="471" spans="1:10" ht="11.1" customHeight="1" x14ac:dyDescent="0.3">
      <c r="A471" s="148"/>
      <c r="B471" s="148"/>
      <c r="C471" s="148"/>
      <c r="D471" s="148"/>
      <c r="E471" s="148"/>
      <c r="F471" s="148"/>
      <c r="G471" s="148"/>
      <c r="H471" s="285"/>
      <c r="I471" s="287"/>
      <c r="J471" s="288"/>
    </row>
    <row r="472" spans="1:10" ht="11.1" customHeight="1" x14ac:dyDescent="0.3">
      <c r="A472" s="148"/>
      <c r="B472" s="148"/>
      <c r="C472" s="148"/>
      <c r="D472" s="148"/>
      <c r="E472" s="148"/>
      <c r="F472" s="148"/>
      <c r="G472" s="148"/>
      <c r="H472" s="285"/>
      <c r="I472" s="287"/>
      <c r="J472" s="288"/>
    </row>
    <row r="473" spans="1:10" ht="11.1" customHeight="1" x14ac:dyDescent="0.3">
      <c r="A473" s="148"/>
      <c r="B473" s="148"/>
      <c r="C473" s="148"/>
      <c r="D473" s="148"/>
      <c r="E473" s="148"/>
      <c r="F473" s="148"/>
      <c r="G473" s="148"/>
      <c r="H473" s="285"/>
      <c r="I473" s="287"/>
      <c r="J473" s="288"/>
    </row>
    <row r="474" spans="1:10" ht="11.1" customHeight="1" x14ac:dyDescent="0.3">
      <c r="A474" s="148"/>
      <c r="B474" s="148"/>
      <c r="C474" s="148"/>
      <c r="D474" s="148"/>
      <c r="E474" s="148"/>
      <c r="F474" s="148"/>
      <c r="G474" s="148"/>
      <c r="H474" s="285"/>
      <c r="I474" s="287"/>
      <c r="J474" s="288"/>
    </row>
    <row r="475" spans="1:10" ht="11.1" customHeight="1" x14ac:dyDescent="0.3">
      <c r="A475" s="148"/>
      <c r="B475" s="148"/>
      <c r="C475" s="148"/>
      <c r="D475" s="148"/>
      <c r="E475" s="148"/>
      <c r="F475" s="148"/>
      <c r="G475" s="148"/>
      <c r="H475" s="285"/>
      <c r="I475" s="287"/>
      <c r="J475" s="288"/>
    </row>
    <row r="476" spans="1:10" ht="11.1" customHeight="1" x14ac:dyDescent="0.3">
      <c r="A476" s="148"/>
      <c r="B476" s="148"/>
      <c r="C476" s="148"/>
      <c r="D476" s="148"/>
      <c r="E476" s="148"/>
      <c r="F476" s="148"/>
      <c r="G476" s="148"/>
      <c r="H476" s="285"/>
      <c r="I476" s="287"/>
      <c r="J476" s="288"/>
    </row>
    <row r="477" spans="1:10" ht="11.1" customHeight="1" x14ac:dyDescent="0.3">
      <c r="A477" s="148"/>
      <c r="B477" s="148"/>
      <c r="C477" s="148"/>
      <c r="D477" s="148"/>
      <c r="E477" s="148"/>
      <c r="F477" s="148"/>
      <c r="G477" s="148"/>
      <c r="H477" s="285"/>
      <c r="I477" s="287"/>
      <c r="J477" s="288"/>
    </row>
    <row r="478" spans="1:10" ht="11.1" customHeight="1" x14ac:dyDescent="0.3">
      <c r="A478" s="305" t="s">
        <v>6</v>
      </c>
      <c r="B478" s="305"/>
      <c r="C478" s="305"/>
      <c r="D478" s="305"/>
      <c r="E478" s="305"/>
      <c r="F478" s="305"/>
      <c r="G478" s="305"/>
      <c r="H478" s="285"/>
      <c r="I478" s="287"/>
      <c r="J478" s="288"/>
    </row>
    <row r="479" spans="1:10" ht="11.1" customHeight="1" x14ac:dyDescent="0.3">
      <c r="A479" s="305" t="s">
        <v>35</v>
      </c>
      <c r="B479" s="305"/>
      <c r="C479" s="305"/>
      <c r="D479" s="305"/>
      <c r="E479" s="305"/>
      <c r="F479" s="305"/>
      <c r="G479" s="305"/>
      <c r="H479" s="285"/>
      <c r="I479" s="287"/>
      <c r="J479" s="288"/>
    </row>
    <row r="480" spans="1:10" ht="11.1" customHeight="1" x14ac:dyDescent="0.3">
      <c r="A480" s="311" t="s">
        <v>36</v>
      </c>
      <c r="B480" s="311"/>
      <c r="C480" s="311"/>
      <c r="D480" s="311"/>
      <c r="E480" s="311"/>
      <c r="F480" s="311"/>
      <c r="G480" s="311"/>
      <c r="H480" s="285"/>
      <c r="I480" s="287"/>
      <c r="J480" s="288"/>
    </row>
    <row r="481" spans="1:10" ht="11.1" customHeight="1" x14ac:dyDescent="0.3">
      <c r="A481" s="339" t="s">
        <v>46</v>
      </c>
      <c r="B481" s="340"/>
      <c r="C481" s="340"/>
      <c r="D481" s="340"/>
      <c r="E481" s="340"/>
      <c r="F481" s="340"/>
      <c r="G481" s="341"/>
      <c r="H481" s="285"/>
      <c r="I481" s="287"/>
      <c r="J481" s="288"/>
    </row>
    <row r="482" spans="1:10" ht="11.1" customHeight="1" x14ac:dyDescent="0.3">
      <c r="A482" s="25"/>
      <c r="B482" s="292" t="s">
        <v>3</v>
      </c>
      <c r="C482" s="293"/>
      <c r="D482" s="293"/>
      <c r="E482" s="293"/>
      <c r="F482" s="293"/>
      <c r="G482" s="294"/>
      <c r="H482" s="285"/>
      <c r="I482" s="287"/>
      <c r="J482" s="288"/>
    </row>
    <row r="483" spans="1:10" ht="11.1" customHeight="1" x14ac:dyDescent="0.3">
      <c r="A483" s="26">
        <v>1</v>
      </c>
      <c r="B483" s="295" t="s">
        <v>4</v>
      </c>
      <c r="C483" s="296"/>
      <c r="D483" s="296"/>
      <c r="E483" s="297"/>
      <c r="F483" s="298">
        <v>1983</v>
      </c>
      <c r="G483" s="299"/>
      <c r="H483" s="285"/>
      <c r="I483" s="287"/>
      <c r="J483" s="288"/>
    </row>
    <row r="484" spans="1:10" ht="11.1" customHeight="1" x14ac:dyDescent="0.3">
      <c r="A484" s="27">
        <v>2</v>
      </c>
      <c r="B484" s="300" t="s">
        <v>12</v>
      </c>
      <c r="C484" s="301"/>
      <c r="D484" s="301"/>
      <c r="E484" s="302"/>
      <c r="F484" s="303">
        <v>9</v>
      </c>
      <c r="G484" s="304"/>
      <c r="H484" s="285"/>
      <c r="I484" s="287"/>
      <c r="J484" s="288"/>
    </row>
    <row r="485" spans="1:10" ht="11.1" customHeight="1" x14ac:dyDescent="0.3">
      <c r="A485" s="27">
        <v>3</v>
      </c>
      <c r="B485" s="300" t="s">
        <v>14</v>
      </c>
      <c r="C485" s="301"/>
      <c r="D485" s="301"/>
      <c r="E485" s="302"/>
      <c r="F485" s="303">
        <v>1</v>
      </c>
      <c r="G485" s="304"/>
      <c r="H485" s="285"/>
      <c r="I485" s="287"/>
      <c r="J485" s="288"/>
    </row>
    <row r="486" spans="1:10" ht="11.1" customHeight="1" x14ac:dyDescent="0.3">
      <c r="A486" s="27">
        <v>4</v>
      </c>
      <c r="B486" s="300" t="s">
        <v>13</v>
      </c>
      <c r="C486" s="301"/>
      <c r="D486" s="301"/>
      <c r="E486" s="302"/>
      <c r="F486" s="303">
        <v>35</v>
      </c>
      <c r="G486" s="304"/>
      <c r="H486" s="285"/>
      <c r="I486" s="287"/>
      <c r="J486" s="288"/>
    </row>
    <row r="487" spans="1:10" ht="11.1" customHeight="1" x14ac:dyDescent="0.3">
      <c r="A487" s="27">
        <v>5</v>
      </c>
      <c r="B487" s="300" t="s">
        <v>10</v>
      </c>
      <c r="C487" s="301"/>
      <c r="D487" s="301"/>
      <c r="E487" s="302"/>
      <c r="F487" s="335">
        <v>317.10000000000002</v>
      </c>
      <c r="G487" s="336"/>
      <c r="H487" s="285"/>
      <c r="I487" s="287"/>
      <c r="J487" s="288"/>
    </row>
    <row r="488" spans="1:10" ht="11.1" customHeight="1" x14ac:dyDescent="0.3">
      <c r="A488" s="27">
        <v>6</v>
      </c>
      <c r="B488" s="300" t="s">
        <v>11</v>
      </c>
      <c r="C488" s="301"/>
      <c r="D488" s="301"/>
      <c r="E488" s="302"/>
      <c r="F488" s="335">
        <v>1955</v>
      </c>
      <c r="G488" s="336"/>
      <c r="H488" s="285"/>
      <c r="I488" s="287"/>
      <c r="J488" s="288"/>
    </row>
    <row r="489" spans="1:10" ht="11.1" customHeight="1" x14ac:dyDescent="0.3">
      <c r="A489" s="28">
        <v>7</v>
      </c>
      <c r="B489" s="306" t="s">
        <v>9</v>
      </c>
      <c r="C489" s="307"/>
      <c r="D489" s="307"/>
      <c r="E489" s="308"/>
      <c r="F489" s="309">
        <v>0</v>
      </c>
      <c r="G489" s="310"/>
      <c r="H489" s="285"/>
      <c r="I489" s="287"/>
      <c r="J489" s="288"/>
    </row>
    <row r="490" spans="1:10" ht="11.1" customHeight="1" x14ac:dyDescent="0.3">
      <c r="A490" s="255"/>
      <c r="B490" s="251"/>
      <c r="C490" s="251"/>
      <c r="D490" s="251"/>
      <c r="E490" s="251"/>
      <c r="F490" s="256"/>
      <c r="G490" s="250"/>
      <c r="H490" s="285"/>
      <c r="I490" s="287"/>
      <c r="J490" s="288"/>
    </row>
    <row r="491" spans="1:10" ht="11.1" customHeight="1" x14ac:dyDescent="0.3">
      <c r="A491" s="315" t="s">
        <v>99</v>
      </c>
      <c r="B491" s="316"/>
      <c r="C491" s="316"/>
      <c r="D491" s="316"/>
      <c r="E491" s="316"/>
      <c r="F491" s="316"/>
      <c r="G491" s="317"/>
      <c r="H491" s="285"/>
      <c r="I491" s="287"/>
      <c r="J491" s="288"/>
    </row>
    <row r="492" spans="1:10" ht="11.1" customHeight="1" x14ac:dyDescent="0.3">
      <c r="A492" s="29"/>
      <c r="B492" s="30"/>
      <c r="C492" s="29" t="s">
        <v>19</v>
      </c>
      <c r="D492" s="29"/>
      <c r="E492" s="29"/>
      <c r="F492" s="31"/>
      <c r="G492" s="29" t="s">
        <v>19</v>
      </c>
      <c r="H492" s="285"/>
      <c r="I492" s="287"/>
      <c r="J492" s="288"/>
    </row>
    <row r="493" spans="1:10" ht="11.1" customHeight="1" x14ac:dyDescent="0.3">
      <c r="A493" s="24"/>
      <c r="B493" s="2" t="s">
        <v>1</v>
      </c>
      <c r="C493" s="24" t="s">
        <v>28</v>
      </c>
      <c r="D493" s="24" t="s">
        <v>2</v>
      </c>
      <c r="E493" s="24" t="s">
        <v>16</v>
      </c>
      <c r="F493" s="32" t="s">
        <v>27</v>
      </c>
      <c r="G493" s="24" t="s">
        <v>28</v>
      </c>
      <c r="H493" s="285"/>
      <c r="I493" s="287"/>
      <c r="J493" s="288"/>
    </row>
    <row r="494" spans="1:10" ht="11.1" customHeight="1" x14ac:dyDescent="0.3">
      <c r="A494" s="33"/>
      <c r="B494" s="129"/>
      <c r="C494" s="33" t="s">
        <v>24</v>
      </c>
      <c r="D494" s="33"/>
      <c r="E494" s="34"/>
      <c r="F494" s="35"/>
      <c r="G494" s="33" t="s">
        <v>30</v>
      </c>
      <c r="H494" s="285"/>
      <c r="I494" s="287"/>
      <c r="J494" s="288"/>
    </row>
    <row r="495" spans="1:10" ht="11.1" customHeight="1" x14ac:dyDescent="0.3">
      <c r="A495" s="37" t="s">
        <v>20</v>
      </c>
      <c r="B495" s="131" t="s">
        <v>33</v>
      </c>
      <c r="C495" s="42"/>
      <c r="D495" s="42"/>
      <c r="E495" s="38"/>
      <c r="F495" s="38"/>
      <c r="G495" s="38"/>
      <c r="H495" s="285"/>
      <c r="I495" s="287"/>
      <c r="J495" s="288"/>
    </row>
    <row r="496" spans="1:10" ht="11.1" customHeight="1" x14ac:dyDescent="0.3">
      <c r="A496" s="101"/>
      <c r="B496" s="132" t="s">
        <v>7</v>
      </c>
      <c r="C496" s="62">
        <v>20149.259999999998</v>
      </c>
      <c r="D496" s="62">
        <v>335067.2</v>
      </c>
      <c r="E496" s="62">
        <f>C496+D496-G496</f>
        <v>329661.44</v>
      </c>
      <c r="F496" s="62"/>
      <c r="G496" s="62">
        <f>30227.74-4672.72</f>
        <v>25555.02</v>
      </c>
      <c r="H496" s="285"/>
      <c r="I496" s="287"/>
      <c r="J496" s="288"/>
    </row>
    <row r="497" spans="1:10" ht="11.1" customHeight="1" x14ac:dyDescent="0.3">
      <c r="A497" s="101"/>
      <c r="B497" s="132" t="s">
        <v>17</v>
      </c>
      <c r="C497" s="68">
        <f>D497/12</f>
        <v>1040</v>
      </c>
      <c r="D497" s="62">
        <v>12480</v>
      </c>
      <c r="E497" s="62">
        <f>C497+D497-G497</f>
        <v>12396.8</v>
      </c>
      <c r="F497" s="62"/>
      <c r="G497" s="62">
        <f>D497*9%</f>
        <v>1123.2</v>
      </c>
      <c r="H497" s="285"/>
      <c r="I497" s="287"/>
      <c r="J497" s="288"/>
    </row>
    <row r="498" spans="1:10" ht="11.1" customHeight="1" x14ac:dyDescent="0.3">
      <c r="A498" s="101"/>
      <c r="B498" s="135" t="s">
        <v>23</v>
      </c>
      <c r="C498" s="63">
        <f>SUM(C496:C497)</f>
        <v>21189.26</v>
      </c>
      <c r="D498" s="63">
        <f>SUM(D496:D497)</f>
        <v>347547.2</v>
      </c>
      <c r="E498" s="63">
        <f>SUM(E496:E497)</f>
        <v>342058.23999999999</v>
      </c>
      <c r="F498" s="63">
        <f>D498+1090.18</f>
        <v>348637.38</v>
      </c>
      <c r="G498" s="63">
        <f>SUM(G496:G497)</f>
        <v>26678.22</v>
      </c>
      <c r="H498" s="285"/>
      <c r="I498" s="287"/>
      <c r="J498" s="288"/>
    </row>
    <row r="499" spans="1:10" ht="11.1" customHeight="1" x14ac:dyDescent="0.3">
      <c r="A499" s="101"/>
      <c r="B499" s="135"/>
      <c r="C499" s="68"/>
      <c r="D499" s="62"/>
      <c r="E499" s="62"/>
      <c r="F499" s="62"/>
      <c r="G499" s="62"/>
      <c r="H499" s="285"/>
      <c r="I499" s="287"/>
      <c r="J499" s="288"/>
    </row>
    <row r="500" spans="1:10" ht="11.1" customHeight="1" x14ac:dyDescent="0.3">
      <c r="A500" s="39">
        <v>2</v>
      </c>
      <c r="B500" s="152" t="s">
        <v>34</v>
      </c>
      <c r="C500" s="62">
        <v>0</v>
      </c>
      <c r="D500" s="63">
        <v>72315.45</v>
      </c>
      <c r="E500" s="62">
        <f>D500-G500</f>
        <v>65280.75</v>
      </c>
      <c r="F500" s="63">
        <f>D500</f>
        <v>72315.45</v>
      </c>
      <c r="G500" s="62">
        <f>4672.72+2308.1+53.88</f>
        <v>7034.7</v>
      </c>
      <c r="H500" s="285"/>
      <c r="I500" s="287"/>
      <c r="J500" s="288"/>
    </row>
    <row r="501" spans="1:10" ht="11.1" customHeight="1" x14ac:dyDescent="0.3">
      <c r="A501" s="40"/>
      <c r="B501" s="40"/>
      <c r="C501" s="64"/>
      <c r="D501" s="64"/>
      <c r="E501" s="64"/>
      <c r="F501" s="64"/>
      <c r="G501" s="64"/>
      <c r="H501" s="285"/>
      <c r="I501" s="287"/>
      <c r="J501" s="288"/>
    </row>
    <row r="502" spans="1:10" ht="11.1" customHeight="1" x14ac:dyDescent="0.3">
      <c r="A502" s="79" t="s">
        <v>22</v>
      </c>
      <c r="B502" s="182" t="s">
        <v>50</v>
      </c>
      <c r="C502" s="141">
        <v>8693.52</v>
      </c>
      <c r="D502" s="141">
        <v>135774.24</v>
      </c>
      <c r="E502" s="141">
        <f>C502+D502-G502</f>
        <v>134347.86999999997</v>
      </c>
      <c r="F502" s="142">
        <v>72212.070000000007</v>
      </c>
      <c r="G502" s="141">
        <f>12481.87-2308.1-53.88</f>
        <v>10119.890000000001</v>
      </c>
      <c r="H502" s="285"/>
      <c r="I502" s="287"/>
      <c r="J502" s="288"/>
    </row>
    <row r="503" spans="1:10" ht="11.1" customHeight="1" x14ac:dyDescent="0.3">
      <c r="A503" s="16"/>
      <c r="B503" s="202"/>
      <c r="C503" s="242"/>
      <c r="D503" s="242"/>
      <c r="E503" s="242"/>
      <c r="F503" s="243"/>
      <c r="G503" s="242"/>
      <c r="H503" s="285"/>
      <c r="I503" s="287"/>
      <c r="J503" s="288"/>
    </row>
    <row r="504" spans="1:10" ht="11.1" customHeight="1" x14ac:dyDescent="0.3">
      <c r="A504" s="81"/>
      <c r="B504" s="82" t="s">
        <v>74</v>
      </c>
      <c r="C504" s="90">
        <f>C502+C500+C498</f>
        <v>29882.78</v>
      </c>
      <c r="D504" s="90">
        <f>D502+D500+D498</f>
        <v>555636.89</v>
      </c>
      <c r="E504" s="90">
        <f>E502+E500+E498</f>
        <v>541686.86</v>
      </c>
      <c r="F504" s="90">
        <f>F502+F500+F498</f>
        <v>493164.9</v>
      </c>
      <c r="G504" s="90">
        <f>G502+G500+G498</f>
        <v>43832.81</v>
      </c>
      <c r="H504" s="285"/>
      <c r="I504" s="287"/>
      <c r="J504" s="288"/>
    </row>
    <row r="505" spans="1:10" ht="11.1" customHeight="1" x14ac:dyDescent="0.3">
      <c r="A505" s="130"/>
      <c r="B505" s="36"/>
      <c r="C505" s="30"/>
      <c r="D505" s="36"/>
      <c r="E505" s="36"/>
      <c r="F505" s="36"/>
      <c r="G505" s="44"/>
      <c r="H505" s="285"/>
      <c r="I505" s="287"/>
      <c r="J505" s="288"/>
    </row>
    <row r="506" spans="1:10" ht="11.1" customHeight="1" x14ac:dyDescent="0.3">
      <c r="A506" s="318" t="s">
        <v>18</v>
      </c>
      <c r="B506" s="319"/>
      <c r="C506" s="319"/>
      <c r="D506" s="319"/>
      <c r="E506" s="319"/>
      <c r="F506" s="319"/>
      <c r="G506" s="45"/>
      <c r="H506" s="285"/>
      <c r="I506" s="287"/>
      <c r="J506" s="288"/>
    </row>
    <row r="507" spans="1:10" ht="11.1" customHeight="1" x14ac:dyDescent="0.3">
      <c r="A507" s="1"/>
      <c r="B507" s="2"/>
      <c r="C507" s="29" t="s">
        <v>19</v>
      </c>
      <c r="D507" s="29"/>
      <c r="E507" s="29"/>
      <c r="F507" s="31"/>
      <c r="G507" s="29" t="s">
        <v>19</v>
      </c>
      <c r="H507" s="285"/>
      <c r="I507" s="287"/>
      <c r="J507" s="288"/>
    </row>
    <row r="508" spans="1:10" ht="11.1" customHeight="1" x14ac:dyDescent="0.3">
      <c r="A508" s="1" t="s">
        <v>15</v>
      </c>
      <c r="B508" s="2" t="s">
        <v>1</v>
      </c>
      <c r="C508" s="24" t="s">
        <v>28</v>
      </c>
      <c r="D508" s="24" t="s">
        <v>2</v>
      </c>
      <c r="E508" s="24" t="s">
        <v>16</v>
      </c>
      <c r="F508" s="32" t="s">
        <v>27</v>
      </c>
      <c r="G508" s="24" t="s">
        <v>28</v>
      </c>
      <c r="H508" s="285"/>
      <c r="I508" s="287"/>
      <c r="J508" s="288"/>
    </row>
    <row r="509" spans="1:10" ht="11.1" customHeight="1" x14ac:dyDescent="0.3">
      <c r="A509" s="1" t="s">
        <v>0</v>
      </c>
      <c r="B509" s="2"/>
      <c r="C509" s="33" t="s">
        <v>24</v>
      </c>
      <c r="D509" s="33"/>
      <c r="E509" s="34"/>
      <c r="F509" s="35"/>
      <c r="G509" s="33" t="s">
        <v>30</v>
      </c>
      <c r="H509" s="285"/>
      <c r="I509" s="287"/>
      <c r="J509" s="288"/>
    </row>
    <row r="510" spans="1:10" ht="11.1" customHeight="1" x14ac:dyDescent="0.3">
      <c r="A510" s="47" t="s">
        <v>20</v>
      </c>
      <c r="B510" s="143" t="s">
        <v>21</v>
      </c>
      <c r="C510" s="38"/>
      <c r="D510" s="38"/>
      <c r="E510" s="38"/>
      <c r="F510" s="38"/>
      <c r="G510" s="38"/>
      <c r="H510" s="285"/>
      <c r="I510" s="287"/>
      <c r="J510" s="288"/>
    </row>
    <row r="511" spans="1:10" ht="11.1" customHeight="1" x14ac:dyDescent="0.3">
      <c r="A511" s="48"/>
      <c r="B511" s="40" t="s">
        <v>85</v>
      </c>
      <c r="C511" s="43">
        <v>31797.759999999998</v>
      </c>
      <c r="D511" s="5">
        <v>487961.86</v>
      </c>
      <c r="E511" s="5">
        <f>C511+D511-G511</f>
        <v>468554.77</v>
      </c>
      <c r="F511" s="5">
        <v>484460.28</v>
      </c>
      <c r="G511" s="43">
        <f>51204.85</f>
        <v>51204.85</v>
      </c>
      <c r="H511" s="285"/>
      <c r="I511" s="287"/>
      <c r="J511" s="288"/>
    </row>
    <row r="512" spans="1:10" ht="11.1" customHeight="1" x14ac:dyDescent="0.3">
      <c r="A512" s="49"/>
      <c r="B512" s="40" t="s">
        <v>86</v>
      </c>
      <c r="C512" s="5">
        <f>12125.84+1820.4+621.2</f>
        <v>14567.44</v>
      </c>
      <c r="D512" s="5">
        <v>270999.15999999997</v>
      </c>
      <c r="E512" s="5">
        <f>C512+D512-G512</f>
        <v>266434.88</v>
      </c>
      <c r="F512" s="5">
        <f>56386.03+240048.77</f>
        <v>296434.8</v>
      </c>
      <c r="G512" s="5">
        <f>14925.22+3067.99+1138.51</f>
        <v>19131.719999999998</v>
      </c>
      <c r="H512" s="285"/>
      <c r="I512" s="287"/>
      <c r="J512" s="288"/>
    </row>
    <row r="513" spans="1:10" ht="11.1" customHeight="1" x14ac:dyDescent="0.3">
      <c r="A513" s="49"/>
      <c r="B513" s="135" t="s">
        <v>23</v>
      </c>
      <c r="C513" s="50">
        <f>SUM(C511:C512)</f>
        <v>46365.2</v>
      </c>
      <c r="D513" s="50">
        <f>SUM(D511:D512)</f>
        <v>758961.02</v>
      </c>
      <c r="E513" s="50">
        <f>SUM(E511:E512)</f>
        <v>734989.65</v>
      </c>
      <c r="F513" s="50">
        <f>SUM(F511:F512)</f>
        <v>780895.08000000007</v>
      </c>
      <c r="G513" s="50">
        <f>SUM(G511:G512)</f>
        <v>70336.569999999992</v>
      </c>
      <c r="H513" s="285"/>
      <c r="I513" s="287"/>
      <c r="J513" s="288"/>
    </row>
    <row r="514" spans="1:10" ht="11.1" customHeight="1" x14ac:dyDescent="0.3">
      <c r="A514" s="49"/>
      <c r="B514" s="138"/>
      <c r="C514" s="5"/>
      <c r="D514" s="14"/>
      <c r="E514" s="5"/>
      <c r="F514" s="14"/>
      <c r="G514" s="5"/>
      <c r="H514" s="285"/>
      <c r="I514" s="287"/>
      <c r="J514" s="288"/>
    </row>
    <row r="515" spans="1:10" ht="11.1" customHeight="1" x14ac:dyDescent="0.3">
      <c r="A515" s="101" t="s">
        <v>26</v>
      </c>
      <c r="B515" s="137" t="s">
        <v>87</v>
      </c>
      <c r="C515" s="58">
        <f>4620.91+4503.73</f>
        <v>9124.64</v>
      </c>
      <c r="D515" s="50">
        <f>89512.42+75616.71</f>
        <v>165129.13</v>
      </c>
      <c r="E515" s="50">
        <f>C515+D515-G515</f>
        <v>160628.86000000002</v>
      </c>
      <c r="F515" s="50">
        <f>D515+7245.78</f>
        <v>172374.91</v>
      </c>
      <c r="G515" s="50">
        <f>7561.5+6063.41</f>
        <v>13624.91</v>
      </c>
      <c r="H515" s="285"/>
      <c r="I515" s="287"/>
      <c r="J515" s="288"/>
    </row>
    <row r="516" spans="1:10" ht="11.1" customHeight="1" x14ac:dyDescent="0.3">
      <c r="A516" s="39"/>
      <c r="B516" s="135"/>
      <c r="C516" s="43"/>
      <c r="D516" s="50"/>
      <c r="E516" s="50"/>
      <c r="F516" s="50"/>
      <c r="G516" s="50"/>
      <c r="H516" s="285"/>
      <c r="I516" s="287"/>
      <c r="J516" s="288"/>
    </row>
    <row r="517" spans="1:10" ht="11.1" customHeight="1" x14ac:dyDescent="0.3">
      <c r="A517" s="101" t="s">
        <v>22</v>
      </c>
      <c r="B517" s="183" t="s">
        <v>5</v>
      </c>
      <c r="C517" s="52">
        <v>4776.3900000000003</v>
      </c>
      <c r="D517" s="92">
        <v>86396.4</v>
      </c>
      <c r="E517" s="52">
        <f>C517+D517-G517</f>
        <v>84405.829999999987</v>
      </c>
      <c r="F517" s="52">
        <f>D517</f>
        <v>86396.4</v>
      </c>
      <c r="G517" s="52">
        <f>6766.96</f>
        <v>6766.96</v>
      </c>
      <c r="H517" s="285"/>
      <c r="I517" s="287"/>
      <c r="J517" s="288"/>
    </row>
    <row r="518" spans="1:10" ht="11.1" customHeight="1" x14ac:dyDescent="0.3">
      <c r="A518" s="1"/>
      <c r="B518" s="201"/>
      <c r="C518" s="17"/>
      <c r="D518" s="107"/>
      <c r="E518" s="17"/>
      <c r="F518" s="17"/>
      <c r="G518" s="17"/>
      <c r="H518" s="285"/>
      <c r="I518" s="287"/>
      <c r="J518" s="288"/>
    </row>
    <row r="519" spans="1:10" ht="11.1" customHeight="1" x14ac:dyDescent="0.3">
      <c r="A519" s="82"/>
      <c r="B519" s="82" t="s">
        <v>74</v>
      </c>
      <c r="C519" s="90">
        <f>C517+C515+C513</f>
        <v>60266.229999999996</v>
      </c>
      <c r="D519" s="90">
        <f>D517+D515+D513</f>
        <v>1010486.55</v>
      </c>
      <c r="E519" s="90">
        <f>E517+E515+E513</f>
        <v>980024.34000000008</v>
      </c>
      <c r="F519" s="90">
        <f>F517+F515+F513</f>
        <v>1039666.3900000001</v>
      </c>
      <c r="G519" s="90">
        <f>G517+G515+G513</f>
        <v>90728.439999999988</v>
      </c>
      <c r="H519" s="285"/>
      <c r="I519" s="287"/>
      <c r="J519" s="288"/>
    </row>
    <row r="520" spans="1:10" ht="11.1" customHeight="1" x14ac:dyDescent="0.3">
      <c r="A520" s="148"/>
      <c r="B520" s="148"/>
      <c r="C520" s="148"/>
      <c r="D520" s="148"/>
      <c r="E520" s="148"/>
      <c r="F520" s="148"/>
      <c r="G520" s="148"/>
      <c r="H520" s="285"/>
      <c r="I520" s="287"/>
      <c r="J520" s="288"/>
    </row>
    <row r="521" spans="1:10" ht="11.1" customHeight="1" x14ac:dyDescent="0.3">
      <c r="A521" s="148"/>
      <c r="B521" s="148"/>
      <c r="C521" s="148"/>
      <c r="D521" s="148"/>
      <c r="E521" s="148"/>
      <c r="F521" s="181"/>
      <c r="G521" s="148"/>
      <c r="H521" s="285"/>
      <c r="I521" s="287"/>
      <c r="J521" s="288"/>
    </row>
    <row r="522" spans="1:10" ht="11.1" customHeight="1" x14ac:dyDescent="0.3">
      <c r="A522" s="148"/>
      <c r="B522" s="148"/>
      <c r="C522" s="148"/>
      <c r="D522" s="148"/>
      <c r="E522" s="148"/>
      <c r="F522" s="181"/>
      <c r="G522" s="148"/>
      <c r="H522" s="285"/>
      <c r="I522" s="287"/>
      <c r="J522" s="288"/>
    </row>
    <row r="523" spans="1:10" ht="11.1" customHeight="1" x14ac:dyDescent="0.3">
      <c r="A523" s="148"/>
      <c r="B523" s="148"/>
      <c r="C523" s="148"/>
      <c r="D523" s="148"/>
      <c r="E523" s="148"/>
      <c r="F523" s="181"/>
      <c r="G523" s="148"/>
      <c r="H523" s="285"/>
      <c r="I523" s="287"/>
      <c r="J523" s="288"/>
    </row>
    <row r="524" spans="1:10" ht="11.1" customHeight="1" x14ac:dyDescent="0.3">
      <c r="A524" s="148"/>
      <c r="B524" s="148"/>
      <c r="C524" s="148"/>
      <c r="D524" s="148"/>
      <c r="E524" s="148"/>
      <c r="F524" s="181"/>
      <c r="G524" s="148"/>
      <c r="H524" s="285"/>
      <c r="I524" s="287"/>
      <c r="J524" s="288"/>
    </row>
    <row r="525" spans="1:10" ht="11.1" customHeight="1" x14ac:dyDescent="0.3">
      <c r="A525" s="148"/>
      <c r="B525" s="148"/>
      <c r="C525" s="148"/>
      <c r="D525" s="148"/>
      <c r="E525" s="148"/>
      <c r="F525" s="181"/>
      <c r="G525" s="148"/>
      <c r="H525" s="285"/>
      <c r="I525" s="287"/>
      <c r="J525" s="288"/>
    </row>
    <row r="526" spans="1:10" ht="11.1" customHeight="1" x14ac:dyDescent="0.3">
      <c r="A526" s="148"/>
      <c r="B526" s="148"/>
      <c r="C526" s="148"/>
      <c r="D526" s="148"/>
      <c r="E526" s="148"/>
      <c r="F526" s="181"/>
      <c r="G526" s="148"/>
      <c r="H526" s="285"/>
      <c r="I526" s="287"/>
      <c r="J526" s="288"/>
    </row>
    <row r="527" spans="1:10" ht="11.1" customHeight="1" x14ac:dyDescent="0.3">
      <c r="A527" s="148"/>
      <c r="B527" s="148"/>
      <c r="C527" s="148"/>
      <c r="D527" s="148"/>
      <c r="E527" s="148"/>
      <c r="F527" s="181"/>
      <c r="G527" s="148"/>
      <c r="H527" s="285"/>
      <c r="I527" s="287"/>
      <c r="J527" s="288"/>
    </row>
    <row r="528" spans="1:10" ht="11.1" customHeight="1" x14ac:dyDescent="0.3">
      <c r="A528" s="148"/>
      <c r="B528" s="148"/>
      <c r="C528" s="148"/>
      <c r="D528" s="148"/>
      <c r="E528" s="148"/>
      <c r="F528" s="181"/>
      <c r="G528" s="148"/>
      <c r="H528" s="285"/>
      <c r="I528" s="287"/>
      <c r="J528" s="288"/>
    </row>
    <row r="529" spans="1:10" ht="11.1" customHeight="1" x14ac:dyDescent="0.3">
      <c r="A529" s="148"/>
      <c r="B529" s="148"/>
      <c r="C529" s="148"/>
      <c r="D529" s="148"/>
      <c r="E529" s="148"/>
      <c r="F529" s="181"/>
      <c r="G529" s="148"/>
      <c r="H529" s="285"/>
      <c r="I529" s="287"/>
      <c r="J529" s="288"/>
    </row>
    <row r="530" spans="1:10" ht="11.1" customHeight="1" x14ac:dyDescent="0.3">
      <c r="A530" s="148"/>
      <c r="B530" s="148"/>
      <c r="C530" s="148"/>
      <c r="D530" s="148"/>
      <c r="E530" s="148"/>
      <c r="F530" s="181"/>
      <c r="G530" s="148"/>
      <c r="H530" s="285"/>
      <c r="I530" s="287"/>
      <c r="J530" s="288"/>
    </row>
    <row r="531" spans="1:10" ht="11.1" customHeight="1" x14ac:dyDescent="0.3">
      <c r="A531" s="305" t="s">
        <v>6</v>
      </c>
      <c r="B531" s="305"/>
      <c r="C531" s="305"/>
      <c r="D531" s="305"/>
      <c r="E531" s="305"/>
      <c r="F531" s="305"/>
      <c r="G531" s="305"/>
      <c r="H531" s="285"/>
      <c r="I531" s="287"/>
      <c r="J531" s="288"/>
    </row>
    <row r="532" spans="1:10" ht="11.1" customHeight="1" x14ac:dyDescent="0.3">
      <c r="A532" s="305" t="s">
        <v>35</v>
      </c>
      <c r="B532" s="305"/>
      <c r="C532" s="305"/>
      <c r="D532" s="305"/>
      <c r="E532" s="305"/>
      <c r="F532" s="305"/>
      <c r="G532" s="305"/>
      <c r="H532" s="285"/>
      <c r="I532" s="287"/>
      <c r="J532" s="288"/>
    </row>
    <row r="533" spans="1:10" ht="11.1" customHeight="1" x14ac:dyDescent="0.3">
      <c r="A533" s="311" t="s">
        <v>36</v>
      </c>
      <c r="B533" s="311"/>
      <c r="C533" s="311"/>
      <c r="D533" s="311"/>
      <c r="E533" s="311"/>
      <c r="F533" s="311"/>
      <c r="G533" s="311"/>
      <c r="H533" s="285"/>
      <c r="I533" s="287"/>
      <c r="J533" s="288"/>
    </row>
    <row r="534" spans="1:10" ht="11.1" customHeight="1" x14ac:dyDescent="0.3">
      <c r="A534" s="339" t="s">
        <v>47</v>
      </c>
      <c r="B534" s="340"/>
      <c r="C534" s="340"/>
      <c r="D534" s="340"/>
      <c r="E534" s="340"/>
      <c r="F534" s="340"/>
      <c r="G534" s="341"/>
      <c r="H534" s="285"/>
      <c r="I534" s="287"/>
      <c r="J534" s="288"/>
    </row>
    <row r="535" spans="1:10" ht="11.1" customHeight="1" x14ac:dyDescent="0.3">
      <c r="A535" s="25"/>
      <c r="B535" s="292" t="s">
        <v>3</v>
      </c>
      <c r="C535" s="293"/>
      <c r="D535" s="293"/>
      <c r="E535" s="293"/>
      <c r="F535" s="293"/>
      <c r="G535" s="294"/>
      <c r="H535" s="285"/>
      <c r="I535" s="287"/>
      <c r="J535" s="288"/>
    </row>
    <row r="536" spans="1:10" ht="11.1" customHeight="1" x14ac:dyDescent="0.3">
      <c r="A536" s="26">
        <v>1</v>
      </c>
      <c r="B536" s="295" t="s">
        <v>4</v>
      </c>
      <c r="C536" s="296"/>
      <c r="D536" s="296"/>
      <c r="E536" s="297"/>
      <c r="F536" s="298">
        <v>1980</v>
      </c>
      <c r="G536" s="299"/>
      <c r="H536" s="285"/>
      <c r="I536" s="287"/>
      <c r="J536" s="288"/>
    </row>
    <row r="537" spans="1:10" ht="11.1" customHeight="1" x14ac:dyDescent="0.3">
      <c r="A537" s="27">
        <v>2</v>
      </c>
      <c r="B537" s="300" t="s">
        <v>12</v>
      </c>
      <c r="C537" s="301"/>
      <c r="D537" s="301"/>
      <c r="E537" s="302"/>
      <c r="F537" s="303">
        <v>9</v>
      </c>
      <c r="G537" s="304"/>
      <c r="H537" s="285"/>
      <c r="I537" s="287"/>
      <c r="J537" s="288"/>
    </row>
    <row r="538" spans="1:10" ht="11.1" customHeight="1" x14ac:dyDescent="0.3">
      <c r="A538" s="27">
        <v>3</v>
      </c>
      <c r="B538" s="300" t="s">
        <v>14</v>
      </c>
      <c r="C538" s="301"/>
      <c r="D538" s="301"/>
      <c r="E538" s="302"/>
      <c r="F538" s="303">
        <v>4</v>
      </c>
      <c r="G538" s="304"/>
      <c r="H538" s="285"/>
      <c r="I538" s="287"/>
      <c r="J538" s="288"/>
    </row>
    <row r="539" spans="1:10" ht="11.1" customHeight="1" x14ac:dyDescent="0.3">
      <c r="A539" s="27">
        <v>4</v>
      </c>
      <c r="B539" s="300" t="s">
        <v>13</v>
      </c>
      <c r="C539" s="301"/>
      <c r="D539" s="301"/>
      <c r="E539" s="302"/>
      <c r="F539" s="303">
        <v>144</v>
      </c>
      <c r="G539" s="304"/>
      <c r="H539" s="285"/>
      <c r="I539" s="287"/>
      <c r="J539" s="288"/>
    </row>
    <row r="540" spans="1:10" ht="11.1" customHeight="1" x14ac:dyDescent="0.3">
      <c r="A540" s="27">
        <v>5</v>
      </c>
      <c r="B540" s="300" t="s">
        <v>10</v>
      </c>
      <c r="C540" s="301"/>
      <c r="D540" s="301"/>
      <c r="E540" s="302"/>
      <c r="F540" s="303">
        <v>1222.0999999999999</v>
      </c>
      <c r="G540" s="304"/>
      <c r="H540" s="285"/>
      <c r="I540" s="287"/>
      <c r="J540" s="288"/>
    </row>
    <row r="541" spans="1:10" ht="11.1" customHeight="1" x14ac:dyDescent="0.3">
      <c r="A541" s="27">
        <v>6</v>
      </c>
      <c r="B541" s="300" t="s">
        <v>11</v>
      </c>
      <c r="C541" s="301"/>
      <c r="D541" s="301"/>
      <c r="E541" s="302"/>
      <c r="F541" s="303">
        <v>7528.72</v>
      </c>
      <c r="G541" s="304"/>
      <c r="H541" s="285"/>
      <c r="I541" s="287"/>
      <c r="J541" s="288"/>
    </row>
    <row r="542" spans="1:10" ht="11.1" customHeight="1" x14ac:dyDescent="0.3">
      <c r="A542" s="28">
        <v>7</v>
      </c>
      <c r="B542" s="306" t="s">
        <v>9</v>
      </c>
      <c r="C542" s="307"/>
      <c r="D542" s="307"/>
      <c r="E542" s="308"/>
      <c r="F542" s="309">
        <v>0</v>
      </c>
      <c r="G542" s="310"/>
      <c r="H542" s="285"/>
      <c r="I542" s="287"/>
      <c r="J542" s="288"/>
    </row>
    <row r="543" spans="1:10" ht="11.1" customHeight="1" x14ac:dyDescent="0.3">
      <c r="A543" s="255"/>
      <c r="B543" s="251"/>
      <c r="C543" s="251"/>
      <c r="D543" s="251"/>
      <c r="E543" s="251"/>
      <c r="F543" s="256"/>
      <c r="G543" s="250"/>
      <c r="H543" s="285"/>
      <c r="I543" s="287"/>
      <c r="J543" s="288"/>
    </row>
    <row r="544" spans="1:10" ht="11.1" customHeight="1" x14ac:dyDescent="0.3">
      <c r="A544" s="315" t="s">
        <v>99</v>
      </c>
      <c r="B544" s="316"/>
      <c r="C544" s="316"/>
      <c r="D544" s="316"/>
      <c r="E544" s="316"/>
      <c r="F544" s="316"/>
      <c r="G544" s="317"/>
      <c r="H544" s="285"/>
      <c r="I544" s="287"/>
      <c r="J544" s="288"/>
    </row>
    <row r="545" spans="1:10" ht="11.1" customHeight="1" x14ac:dyDescent="0.3">
      <c r="A545" s="29"/>
      <c r="B545" s="30"/>
      <c r="C545" s="29" t="s">
        <v>19</v>
      </c>
      <c r="D545" s="29"/>
      <c r="E545" s="29"/>
      <c r="F545" s="31"/>
      <c r="G545" s="29" t="s">
        <v>19</v>
      </c>
      <c r="H545" s="285"/>
      <c r="I545" s="287"/>
      <c r="J545" s="288"/>
    </row>
    <row r="546" spans="1:10" ht="11.1" customHeight="1" x14ac:dyDescent="0.3">
      <c r="A546" s="24"/>
      <c r="B546" s="2" t="s">
        <v>1</v>
      </c>
      <c r="C546" s="24" t="s">
        <v>28</v>
      </c>
      <c r="D546" s="24" t="s">
        <v>2</v>
      </c>
      <c r="E546" s="24" t="s">
        <v>16</v>
      </c>
      <c r="F546" s="32" t="s">
        <v>27</v>
      </c>
      <c r="G546" s="24" t="s">
        <v>28</v>
      </c>
      <c r="H546" s="285"/>
      <c r="I546" s="287"/>
      <c r="J546" s="288"/>
    </row>
    <row r="547" spans="1:10" ht="11.1" customHeight="1" x14ac:dyDescent="0.3">
      <c r="A547" s="33"/>
      <c r="B547" s="129"/>
      <c r="C547" s="33" t="s">
        <v>24</v>
      </c>
      <c r="D547" s="33"/>
      <c r="E547" s="34"/>
      <c r="F547" s="35"/>
      <c r="G547" s="33" t="s">
        <v>30</v>
      </c>
      <c r="H547" s="285"/>
      <c r="I547" s="287"/>
      <c r="J547" s="288"/>
    </row>
    <row r="548" spans="1:10" ht="11.1" customHeight="1" x14ac:dyDescent="0.3">
      <c r="A548" s="37" t="s">
        <v>20</v>
      </c>
      <c r="B548" s="131" t="s">
        <v>33</v>
      </c>
      <c r="C548" s="60"/>
      <c r="D548" s="60"/>
      <c r="E548" s="61"/>
      <c r="F548" s="61"/>
      <c r="G548" s="61"/>
      <c r="H548" s="285"/>
      <c r="I548" s="287"/>
      <c r="J548" s="288"/>
    </row>
    <row r="549" spans="1:10" ht="11.1" customHeight="1" x14ac:dyDescent="0.3">
      <c r="A549" s="101"/>
      <c r="B549" s="132" t="s">
        <v>7</v>
      </c>
      <c r="C549" s="62">
        <f>158477.32</f>
        <v>158477.32</v>
      </c>
      <c r="D549" s="62">
        <v>1291820.21</v>
      </c>
      <c r="E549" s="62">
        <f>C549+D549-G549</f>
        <v>1285620.31</v>
      </c>
      <c r="F549" s="62"/>
      <c r="G549" s="62">
        <f>187088.4-22411.18</f>
        <v>164677.22</v>
      </c>
      <c r="H549" s="285"/>
      <c r="I549" s="287"/>
      <c r="J549" s="288"/>
    </row>
    <row r="550" spans="1:10" ht="11.1" customHeight="1" x14ac:dyDescent="0.3">
      <c r="A550" s="101"/>
      <c r="B550" s="132" t="s">
        <v>17</v>
      </c>
      <c r="C550" s="68">
        <f>D550/12</f>
        <v>1310</v>
      </c>
      <c r="D550" s="62">
        <v>15720</v>
      </c>
      <c r="E550" s="62">
        <f>C550+D550-G550</f>
        <v>15615.2</v>
      </c>
      <c r="F550" s="62"/>
      <c r="G550" s="62">
        <f>D550*9%</f>
        <v>1414.8</v>
      </c>
      <c r="H550" s="285"/>
      <c r="I550" s="287"/>
      <c r="J550" s="288"/>
    </row>
    <row r="551" spans="1:10" ht="11.1" customHeight="1" x14ac:dyDescent="0.3">
      <c r="A551" s="101"/>
      <c r="B551" s="135" t="s">
        <v>23</v>
      </c>
      <c r="C551" s="63">
        <f>SUM(C549:C550)</f>
        <v>159787.32</v>
      </c>
      <c r="D551" s="63">
        <f>SUM(D549:D550)</f>
        <v>1307540.21</v>
      </c>
      <c r="E551" s="63">
        <f>SUM(E549:E550)</f>
        <v>1301235.51</v>
      </c>
      <c r="F551" s="63">
        <f>D551+4198.47</f>
        <v>1311738.68</v>
      </c>
      <c r="G551" s="63">
        <f>SUM(G549:G550)</f>
        <v>166092.01999999999</v>
      </c>
      <c r="H551" s="285"/>
      <c r="I551" s="287"/>
      <c r="J551" s="288"/>
    </row>
    <row r="552" spans="1:10" ht="11.1" customHeight="1" x14ac:dyDescent="0.3">
      <c r="A552" s="101"/>
      <c r="B552" s="135"/>
      <c r="C552" s="68"/>
      <c r="D552" s="62"/>
      <c r="E552" s="62"/>
      <c r="F552" s="62"/>
      <c r="G552" s="62"/>
      <c r="H552" s="285"/>
      <c r="I552" s="287"/>
      <c r="J552" s="288"/>
    </row>
    <row r="553" spans="1:10" ht="11.1" customHeight="1" x14ac:dyDescent="0.3">
      <c r="A553" s="39">
        <v>2</v>
      </c>
      <c r="B553" s="152" t="s">
        <v>34</v>
      </c>
      <c r="C553" s="63">
        <v>0</v>
      </c>
      <c r="D553" s="63">
        <v>278487.36</v>
      </c>
      <c r="E553" s="63">
        <f>D553-G553</f>
        <v>244747.46999999997</v>
      </c>
      <c r="F553" s="63">
        <f>D553</f>
        <v>278487.36</v>
      </c>
      <c r="G553" s="63">
        <f>22411.18+11015.33+313.38</f>
        <v>33739.89</v>
      </c>
      <c r="H553" s="285"/>
      <c r="I553" s="287"/>
      <c r="J553" s="288"/>
    </row>
    <row r="554" spans="1:10" ht="11.1" customHeight="1" x14ac:dyDescent="0.3">
      <c r="A554" s="40"/>
      <c r="B554" s="40"/>
      <c r="C554" s="64"/>
      <c r="D554" s="64"/>
      <c r="E554" s="64"/>
      <c r="F554" s="64"/>
      <c r="G554" s="64"/>
      <c r="H554" s="285"/>
      <c r="I554" s="287"/>
      <c r="J554" s="288"/>
    </row>
    <row r="555" spans="1:10" ht="11.1" customHeight="1" x14ac:dyDescent="0.3">
      <c r="A555" s="79" t="s">
        <v>22</v>
      </c>
      <c r="B555" s="182" t="s">
        <v>49</v>
      </c>
      <c r="C555" s="141">
        <f>69105.1</f>
        <v>69105.100000000006</v>
      </c>
      <c r="D555" s="141">
        <v>522869.28</v>
      </c>
      <c r="E555" s="141">
        <f>C555+D555-G555</f>
        <v>525672.95999999996</v>
      </c>
      <c r="F555" s="142">
        <v>535459.18000000005</v>
      </c>
      <c r="G555" s="141">
        <f>77630.13-11015.33-313.38</f>
        <v>66301.42</v>
      </c>
      <c r="H555" s="285"/>
      <c r="I555" s="287"/>
      <c r="J555" s="288"/>
    </row>
    <row r="556" spans="1:10" ht="11.1" customHeight="1" x14ac:dyDescent="0.3">
      <c r="A556" s="16"/>
      <c r="B556" s="202"/>
      <c r="C556" s="242"/>
      <c r="D556" s="242"/>
      <c r="E556" s="242"/>
      <c r="F556" s="243"/>
      <c r="G556" s="242"/>
      <c r="H556" s="285"/>
      <c r="I556" s="287"/>
      <c r="J556" s="288"/>
    </row>
    <row r="557" spans="1:10" ht="11.1" customHeight="1" x14ac:dyDescent="0.3">
      <c r="A557" s="81"/>
      <c r="B557" s="82" t="s">
        <v>74</v>
      </c>
      <c r="C557" s="90">
        <f>C555+C553+C551</f>
        <v>228892.42</v>
      </c>
      <c r="D557" s="90">
        <f>D555+D553+D551</f>
        <v>2108896.85</v>
      </c>
      <c r="E557" s="90">
        <f>E555+E553+E551</f>
        <v>2071655.94</v>
      </c>
      <c r="F557" s="90">
        <f>F555+F553+F551</f>
        <v>2125685.2199999997</v>
      </c>
      <c r="G557" s="90">
        <f>G555+G553+G551</f>
        <v>266133.32999999996</v>
      </c>
      <c r="H557" s="285"/>
      <c r="I557" s="287"/>
      <c r="J557" s="288"/>
    </row>
    <row r="558" spans="1:10" ht="11.1" customHeight="1" x14ac:dyDescent="0.3">
      <c r="A558" s="130"/>
      <c r="B558" s="36"/>
      <c r="C558" s="30"/>
      <c r="D558" s="36"/>
      <c r="E558" s="36"/>
      <c r="F558" s="36"/>
      <c r="G558" s="44"/>
      <c r="H558" s="285"/>
      <c r="I558" s="287"/>
      <c r="J558" s="288"/>
    </row>
    <row r="559" spans="1:10" ht="11.1" customHeight="1" x14ac:dyDescent="0.3">
      <c r="A559" s="318" t="s">
        <v>18</v>
      </c>
      <c r="B559" s="319"/>
      <c r="C559" s="319"/>
      <c r="D559" s="319"/>
      <c r="E559" s="319"/>
      <c r="F559" s="319"/>
      <c r="G559" s="45"/>
      <c r="H559" s="285"/>
      <c r="I559" s="287"/>
      <c r="J559" s="288"/>
    </row>
    <row r="560" spans="1:10" ht="11.1" customHeight="1" x14ac:dyDescent="0.3">
      <c r="A560" s="1"/>
      <c r="B560" s="2"/>
      <c r="C560" s="29" t="s">
        <v>19</v>
      </c>
      <c r="D560" s="29"/>
      <c r="E560" s="29"/>
      <c r="F560" s="31"/>
      <c r="G560" s="29" t="s">
        <v>19</v>
      </c>
      <c r="H560" s="285"/>
      <c r="I560" s="287"/>
      <c r="J560" s="288"/>
    </row>
    <row r="561" spans="1:10" ht="11.1" customHeight="1" x14ac:dyDescent="0.3">
      <c r="A561" s="1" t="s">
        <v>15</v>
      </c>
      <c r="B561" s="2" t="s">
        <v>1</v>
      </c>
      <c r="C561" s="24" t="s">
        <v>28</v>
      </c>
      <c r="D561" s="24" t="s">
        <v>2</v>
      </c>
      <c r="E561" s="24" t="s">
        <v>16</v>
      </c>
      <c r="F561" s="32" t="s">
        <v>27</v>
      </c>
      <c r="G561" s="24" t="s">
        <v>28</v>
      </c>
      <c r="H561" s="285"/>
      <c r="I561" s="287"/>
      <c r="J561" s="288"/>
    </row>
    <row r="562" spans="1:10" ht="11.1" customHeight="1" x14ac:dyDescent="0.3">
      <c r="A562" s="1" t="s">
        <v>0</v>
      </c>
      <c r="B562" s="2"/>
      <c r="C562" s="33" t="s">
        <v>24</v>
      </c>
      <c r="D562" s="33"/>
      <c r="E562" s="34"/>
      <c r="F562" s="35"/>
      <c r="G562" s="33" t="s">
        <v>30</v>
      </c>
      <c r="H562" s="285"/>
      <c r="I562" s="287"/>
      <c r="J562" s="288"/>
    </row>
    <row r="563" spans="1:10" ht="11.1" customHeight="1" x14ac:dyDescent="0.3">
      <c r="A563" s="47" t="s">
        <v>20</v>
      </c>
      <c r="B563" s="143" t="s">
        <v>21</v>
      </c>
      <c r="C563" s="38"/>
      <c r="D563" s="38"/>
      <c r="E563" s="38"/>
      <c r="F563" s="38"/>
      <c r="G563" s="38"/>
      <c r="H563" s="285"/>
      <c r="I563" s="287"/>
      <c r="J563" s="288"/>
    </row>
    <row r="564" spans="1:10" ht="11.1" customHeight="1" x14ac:dyDescent="0.3">
      <c r="A564" s="48"/>
      <c r="B564" s="40" t="s">
        <v>85</v>
      </c>
      <c r="C564" s="43">
        <v>247658.76</v>
      </c>
      <c r="D564" s="5">
        <v>2007746.66</v>
      </c>
      <c r="E564" s="5">
        <f>C564+D564-G564</f>
        <v>1954171.96</v>
      </c>
      <c r="F564" s="5">
        <v>1975926.16</v>
      </c>
      <c r="G564" s="43">
        <v>301233.46000000002</v>
      </c>
      <c r="H564" s="285"/>
      <c r="I564" s="287"/>
      <c r="J564" s="288"/>
    </row>
    <row r="565" spans="1:10" ht="11.1" customHeight="1" x14ac:dyDescent="0.3">
      <c r="A565" s="49"/>
      <c r="B565" s="40" t="s">
        <v>86</v>
      </c>
      <c r="C565" s="5">
        <f>89040.44+34579.05+9602.42</f>
        <v>133221.91</v>
      </c>
      <c r="D565" s="5">
        <v>1103299.1399999999</v>
      </c>
      <c r="E565" s="5">
        <f>C565+D565-G565</f>
        <v>1072125.2299999997</v>
      </c>
      <c r="F565" s="5">
        <f>236003.02+905254.22</f>
        <v>1141257.24</v>
      </c>
      <c r="G565" s="5">
        <f>116122.59+38824.07+9449.16</f>
        <v>164395.82</v>
      </c>
      <c r="H565" s="285"/>
      <c r="I565" s="287"/>
      <c r="J565" s="288"/>
    </row>
    <row r="566" spans="1:10" ht="11.1" customHeight="1" x14ac:dyDescent="0.3">
      <c r="A566" s="49"/>
      <c r="B566" s="138"/>
      <c r="C566" s="50">
        <f>SUM(C564:C565)</f>
        <v>380880.67000000004</v>
      </c>
      <c r="D566" s="50">
        <f>SUM(D564:D565)</f>
        <v>3111045.8</v>
      </c>
      <c r="E566" s="50">
        <f>SUM(E564:E565)</f>
        <v>3026297.1899999995</v>
      </c>
      <c r="F566" s="50">
        <f>SUM(F564:F565)</f>
        <v>3117183.4</v>
      </c>
      <c r="G566" s="50">
        <f>SUM(G564:G565)</f>
        <v>465629.28</v>
      </c>
      <c r="H566" s="285"/>
      <c r="I566" s="287"/>
      <c r="J566" s="288"/>
    </row>
    <row r="567" spans="1:10" ht="11.1" customHeight="1" x14ac:dyDescent="0.3">
      <c r="A567" s="39"/>
      <c r="B567" s="134"/>
      <c r="C567" s="50"/>
      <c r="D567" s="5"/>
      <c r="E567" s="5"/>
      <c r="F567" s="5"/>
      <c r="G567" s="5"/>
      <c r="H567" s="285"/>
      <c r="I567" s="287"/>
      <c r="J567" s="288"/>
    </row>
    <row r="568" spans="1:10" ht="11.1" customHeight="1" x14ac:dyDescent="0.3">
      <c r="A568" s="101" t="s">
        <v>26</v>
      </c>
      <c r="B568" s="137" t="s">
        <v>29</v>
      </c>
      <c r="C568" s="43">
        <f>44468.21+41695.58</f>
        <v>86163.790000000008</v>
      </c>
      <c r="D568" s="5">
        <f>348551.24+332767.18</f>
        <v>681318.41999999993</v>
      </c>
      <c r="E568" s="5">
        <f>C568+D568-G568</f>
        <v>664608.52</v>
      </c>
      <c r="F568" s="5">
        <f>D568</f>
        <v>681318.41999999993</v>
      </c>
      <c r="G568" s="5">
        <f>52474.16+50399.53</f>
        <v>102873.69</v>
      </c>
      <c r="H568" s="285"/>
      <c r="I568" s="287"/>
      <c r="J568" s="288"/>
    </row>
    <row r="569" spans="1:10" ht="11.1" customHeight="1" x14ac:dyDescent="0.3">
      <c r="A569" s="39"/>
      <c r="B569" s="135"/>
      <c r="C569" s="43"/>
      <c r="D569" s="50"/>
      <c r="E569" s="50"/>
      <c r="F569" s="50"/>
      <c r="G569" s="50"/>
      <c r="H569" s="285"/>
      <c r="I569" s="287"/>
      <c r="J569" s="288"/>
    </row>
    <row r="570" spans="1:10" ht="11.1" customHeight="1" x14ac:dyDescent="0.3">
      <c r="A570" s="101" t="s">
        <v>22</v>
      </c>
      <c r="B570" s="183" t="s">
        <v>5</v>
      </c>
      <c r="C570" s="52">
        <v>15912.08</v>
      </c>
      <c r="D570" s="92">
        <v>157716.46</v>
      </c>
      <c r="E570" s="52">
        <f>C570+D570-G570</f>
        <v>154085.99999999997</v>
      </c>
      <c r="F570" s="52">
        <f>D570</f>
        <v>157716.46</v>
      </c>
      <c r="G570" s="52">
        <v>19542.54</v>
      </c>
      <c r="H570" s="285"/>
      <c r="I570" s="287"/>
      <c r="J570" s="288"/>
    </row>
    <row r="571" spans="1:10" ht="11.1" customHeight="1" x14ac:dyDescent="0.3">
      <c r="A571" s="1"/>
      <c r="B571" s="201"/>
      <c r="C571" s="17"/>
      <c r="D571" s="107"/>
      <c r="E571" s="17"/>
      <c r="F571" s="17"/>
      <c r="G571" s="17"/>
      <c r="H571" s="285"/>
      <c r="I571" s="287"/>
      <c r="J571" s="288"/>
    </row>
    <row r="572" spans="1:10" ht="11.1" customHeight="1" x14ac:dyDescent="0.3">
      <c r="A572" s="81"/>
      <c r="B572" s="82" t="s">
        <v>74</v>
      </c>
      <c r="C572" s="90">
        <f>C570+C568+C566</f>
        <v>482956.54000000004</v>
      </c>
      <c r="D572" s="90">
        <f>D570+D568+D566</f>
        <v>3950080.6799999997</v>
      </c>
      <c r="E572" s="90">
        <f>E570+E568+E566</f>
        <v>3844991.7099999995</v>
      </c>
      <c r="F572" s="90">
        <f>F570+F568+F566</f>
        <v>3956218.28</v>
      </c>
      <c r="G572" s="90">
        <f>G570+G568+G566</f>
        <v>588045.51</v>
      </c>
      <c r="H572" s="285"/>
      <c r="I572" s="287"/>
      <c r="J572" s="288"/>
    </row>
    <row r="573" spans="1:10" ht="11.1" customHeight="1" x14ac:dyDescent="0.3">
      <c r="A573" s="148"/>
      <c r="B573" s="148"/>
      <c r="C573" s="148"/>
      <c r="D573" s="148"/>
      <c r="E573" s="148"/>
      <c r="F573" s="148"/>
      <c r="G573" s="148"/>
      <c r="H573" s="285"/>
      <c r="I573" s="287"/>
      <c r="J573" s="288"/>
    </row>
    <row r="574" spans="1:10" ht="11.1" customHeight="1" x14ac:dyDescent="0.3">
      <c r="A574" s="148"/>
      <c r="B574" s="148"/>
      <c r="C574" s="148"/>
      <c r="D574" s="148"/>
      <c r="E574" s="148"/>
      <c r="F574" s="148"/>
      <c r="G574" s="148"/>
      <c r="H574" s="285"/>
      <c r="I574" s="287"/>
      <c r="J574" s="288"/>
    </row>
    <row r="575" spans="1:10" ht="11.1" customHeight="1" x14ac:dyDescent="0.3">
      <c r="A575" s="148"/>
      <c r="B575" s="148"/>
      <c r="C575" s="148"/>
      <c r="D575" s="148"/>
      <c r="E575" s="148"/>
      <c r="F575" s="148"/>
      <c r="G575" s="148"/>
      <c r="H575" s="285"/>
      <c r="I575" s="287"/>
      <c r="J575" s="288"/>
    </row>
    <row r="576" spans="1:10" ht="11.1" customHeight="1" x14ac:dyDescent="0.3">
      <c r="A576" s="148"/>
      <c r="B576" s="148"/>
      <c r="C576" s="148"/>
      <c r="D576" s="148"/>
      <c r="E576" s="148"/>
      <c r="F576" s="148"/>
      <c r="G576" s="148"/>
      <c r="H576" s="285"/>
      <c r="I576" s="287"/>
      <c r="J576" s="288"/>
    </row>
    <row r="577" spans="1:10" ht="11.1" customHeight="1" x14ac:dyDescent="0.3">
      <c r="A577" s="148"/>
      <c r="B577" s="148"/>
      <c r="C577" s="148"/>
      <c r="D577" s="148"/>
      <c r="E577" s="148"/>
      <c r="F577" s="148"/>
      <c r="G577" s="148"/>
      <c r="H577" s="285"/>
      <c r="I577" s="287"/>
      <c r="J577" s="288"/>
    </row>
    <row r="578" spans="1:10" ht="11.1" customHeight="1" x14ac:dyDescent="0.3">
      <c r="A578" s="148"/>
      <c r="B578" s="148"/>
      <c r="C578" s="148"/>
      <c r="D578" s="148"/>
      <c r="E578" s="148"/>
      <c r="F578" s="148"/>
      <c r="G578" s="148"/>
      <c r="H578" s="285"/>
      <c r="I578" s="287"/>
      <c r="J578" s="288"/>
    </row>
    <row r="579" spans="1:10" ht="11.1" customHeight="1" x14ac:dyDescent="0.3">
      <c r="A579" s="148"/>
      <c r="B579" s="148"/>
      <c r="C579" s="148"/>
      <c r="D579" s="148"/>
      <c r="E579" s="148"/>
      <c r="F579" s="148"/>
      <c r="G579" s="148"/>
      <c r="H579" s="285"/>
      <c r="I579" s="287"/>
      <c r="J579" s="288"/>
    </row>
    <row r="580" spans="1:10" ht="11.1" customHeight="1" x14ac:dyDescent="0.3">
      <c r="A580" s="148"/>
      <c r="B580" s="148"/>
      <c r="C580" s="148"/>
      <c r="D580" s="148"/>
      <c r="E580" s="148"/>
      <c r="F580" s="148"/>
      <c r="G580" s="148"/>
      <c r="H580" s="285"/>
      <c r="I580" s="287"/>
      <c r="J580" s="288"/>
    </row>
    <row r="581" spans="1:10" ht="11.1" customHeight="1" x14ac:dyDescent="0.3">
      <c r="A581" s="148"/>
      <c r="B581" s="148"/>
      <c r="C581" s="148"/>
      <c r="D581" s="148"/>
      <c r="E581" s="148"/>
      <c r="F581" s="148"/>
      <c r="G581" s="148"/>
      <c r="H581" s="285"/>
      <c r="I581" s="287"/>
      <c r="J581" s="288"/>
    </row>
    <row r="582" spans="1:10" ht="11.1" customHeight="1" x14ac:dyDescent="0.3">
      <c r="A582" s="148"/>
      <c r="B582" s="148"/>
      <c r="C582" s="148"/>
      <c r="D582" s="148"/>
      <c r="E582" s="148"/>
      <c r="F582" s="148"/>
      <c r="G582" s="148"/>
      <c r="H582" s="285"/>
      <c r="I582" s="287"/>
      <c r="J582" s="288"/>
    </row>
    <row r="583" spans="1:10" ht="11.1" customHeight="1" x14ac:dyDescent="0.3">
      <c r="A583" s="148"/>
      <c r="B583" s="148"/>
      <c r="C583" s="148"/>
      <c r="D583" s="148"/>
      <c r="E583" s="148"/>
      <c r="F583" s="148"/>
      <c r="G583" s="148"/>
      <c r="H583" s="285"/>
      <c r="I583" s="287"/>
      <c r="J583" s="288"/>
    </row>
    <row r="584" spans="1:10" ht="11.1" customHeight="1" x14ac:dyDescent="0.3">
      <c r="A584" s="305" t="s">
        <v>6</v>
      </c>
      <c r="B584" s="305"/>
      <c r="C584" s="305"/>
      <c r="D584" s="305"/>
      <c r="E584" s="305"/>
      <c r="F584" s="305"/>
      <c r="G584" s="305"/>
      <c r="H584" s="285"/>
      <c r="I584" s="287"/>
      <c r="J584" s="288"/>
    </row>
    <row r="585" spans="1:10" ht="11.1" customHeight="1" x14ac:dyDescent="0.3">
      <c r="A585" s="305" t="s">
        <v>35</v>
      </c>
      <c r="B585" s="305"/>
      <c r="C585" s="305"/>
      <c r="D585" s="305"/>
      <c r="E585" s="305"/>
      <c r="F585" s="305"/>
      <c r="G585" s="305"/>
      <c r="H585" s="285"/>
      <c r="I585" s="287"/>
      <c r="J585" s="288"/>
    </row>
    <row r="586" spans="1:10" ht="11.1" customHeight="1" x14ac:dyDescent="0.3">
      <c r="A586" s="311" t="s">
        <v>36</v>
      </c>
      <c r="B586" s="311"/>
      <c r="C586" s="311"/>
      <c r="D586" s="311"/>
      <c r="E586" s="311"/>
      <c r="F586" s="311"/>
      <c r="G586" s="311"/>
      <c r="H586" s="285"/>
      <c r="I586" s="287"/>
      <c r="J586" s="288"/>
    </row>
    <row r="587" spans="1:10" ht="11.1" customHeight="1" x14ac:dyDescent="0.3">
      <c r="A587" s="312" t="s">
        <v>51</v>
      </c>
      <c r="B587" s="313"/>
      <c r="C587" s="313"/>
      <c r="D587" s="313"/>
      <c r="E587" s="313"/>
      <c r="F587" s="313"/>
      <c r="G587" s="314"/>
      <c r="H587" s="285"/>
      <c r="I587" s="287"/>
      <c r="J587" s="288"/>
    </row>
    <row r="588" spans="1:10" ht="10.5" customHeight="1" x14ac:dyDescent="0.3">
      <c r="A588" s="128"/>
      <c r="B588" s="320" t="s">
        <v>3</v>
      </c>
      <c r="C588" s="321"/>
      <c r="D588" s="321"/>
      <c r="E588" s="321"/>
      <c r="F588" s="321"/>
      <c r="G588" s="322"/>
      <c r="H588" s="285"/>
      <c r="I588" s="287"/>
      <c r="J588" s="288"/>
    </row>
    <row r="589" spans="1:10" ht="10.5" customHeight="1" x14ac:dyDescent="0.3">
      <c r="A589" s="96">
        <v>1</v>
      </c>
      <c r="B589" s="323" t="s">
        <v>4</v>
      </c>
      <c r="C589" s="324"/>
      <c r="D589" s="324"/>
      <c r="E589" s="325"/>
      <c r="F589" s="326">
        <v>1983</v>
      </c>
      <c r="G589" s="327"/>
      <c r="H589" s="285"/>
      <c r="I589" s="287"/>
      <c r="J589" s="288"/>
    </row>
    <row r="590" spans="1:10" ht="10.5" customHeight="1" x14ac:dyDescent="0.3">
      <c r="A590" s="97">
        <v>2</v>
      </c>
      <c r="B590" s="328" t="s">
        <v>12</v>
      </c>
      <c r="C590" s="329"/>
      <c r="D590" s="329"/>
      <c r="E590" s="330"/>
      <c r="F590" s="331">
        <v>5</v>
      </c>
      <c r="G590" s="332"/>
      <c r="H590" s="285"/>
      <c r="I590" s="287"/>
      <c r="J590" s="288"/>
    </row>
    <row r="591" spans="1:10" ht="10.5" customHeight="1" x14ac:dyDescent="0.3">
      <c r="A591" s="97">
        <v>3</v>
      </c>
      <c r="B591" s="328" t="s">
        <v>14</v>
      </c>
      <c r="C591" s="329"/>
      <c r="D591" s="329"/>
      <c r="E591" s="330"/>
      <c r="F591" s="331">
        <v>8</v>
      </c>
      <c r="G591" s="332"/>
      <c r="H591" s="285"/>
      <c r="I591" s="287"/>
      <c r="J591" s="288"/>
    </row>
    <row r="592" spans="1:10" ht="10.5" customHeight="1" x14ac:dyDescent="0.3">
      <c r="A592" s="97">
        <v>4</v>
      </c>
      <c r="B592" s="328" t="s">
        <v>13</v>
      </c>
      <c r="C592" s="329"/>
      <c r="D592" s="329"/>
      <c r="E592" s="330"/>
      <c r="F592" s="331">
        <v>118</v>
      </c>
      <c r="G592" s="332"/>
      <c r="H592" s="285"/>
      <c r="I592" s="287"/>
      <c r="J592" s="288"/>
    </row>
    <row r="593" spans="1:10" ht="10.5" customHeight="1" x14ac:dyDescent="0.3">
      <c r="A593" s="97">
        <v>5</v>
      </c>
      <c r="B593" s="328" t="s">
        <v>10</v>
      </c>
      <c r="C593" s="329"/>
      <c r="D593" s="329"/>
      <c r="E593" s="330"/>
      <c r="F593" s="331">
        <v>619.5</v>
      </c>
      <c r="G593" s="332"/>
      <c r="H593" s="285"/>
      <c r="I593" s="287"/>
      <c r="J593" s="288"/>
    </row>
    <row r="594" spans="1:10" ht="10.5" customHeight="1" x14ac:dyDescent="0.3">
      <c r="A594" s="97">
        <v>6</v>
      </c>
      <c r="B594" s="328" t="s">
        <v>11</v>
      </c>
      <c r="C594" s="329"/>
      <c r="D594" s="329"/>
      <c r="E594" s="330"/>
      <c r="F594" s="331">
        <v>5595.16</v>
      </c>
      <c r="G594" s="332"/>
      <c r="H594" s="285"/>
      <c r="I594" s="287"/>
      <c r="J594" s="288"/>
    </row>
    <row r="595" spans="1:10" ht="10.5" customHeight="1" x14ac:dyDescent="0.3">
      <c r="A595" s="98">
        <v>7</v>
      </c>
      <c r="B595" s="349" t="s">
        <v>9</v>
      </c>
      <c r="C595" s="350"/>
      <c r="D595" s="350"/>
      <c r="E595" s="351"/>
      <c r="F595" s="333">
        <v>79.900000000000006</v>
      </c>
      <c r="G595" s="334"/>
      <c r="H595" s="285"/>
      <c r="I595" s="287"/>
      <c r="J595" s="288"/>
    </row>
    <row r="596" spans="1:10" ht="10.5" customHeight="1" x14ac:dyDescent="0.3">
      <c r="A596" s="259"/>
      <c r="B596" s="253"/>
      <c r="C596" s="253"/>
      <c r="D596" s="253"/>
      <c r="E596" s="253"/>
      <c r="F596" s="260"/>
      <c r="G596" s="254"/>
      <c r="H596" s="285"/>
      <c r="I596" s="287"/>
      <c r="J596" s="288"/>
    </row>
    <row r="597" spans="1:10" ht="10.5" customHeight="1" x14ac:dyDescent="0.3">
      <c r="A597" s="315" t="s">
        <v>99</v>
      </c>
      <c r="B597" s="316"/>
      <c r="C597" s="316"/>
      <c r="D597" s="316"/>
      <c r="E597" s="316"/>
      <c r="F597" s="316"/>
      <c r="G597" s="317"/>
      <c r="H597" s="285"/>
      <c r="I597" s="287"/>
      <c r="J597" s="288"/>
    </row>
    <row r="598" spans="1:10" ht="10.5" customHeight="1" x14ac:dyDescent="0.3">
      <c r="A598" s="29"/>
      <c r="B598" s="30"/>
      <c r="C598" s="29" t="s">
        <v>19</v>
      </c>
      <c r="D598" s="29"/>
      <c r="E598" s="29"/>
      <c r="F598" s="31"/>
      <c r="G598" s="29" t="s">
        <v>19</v>
      </c>
      <c r="H598" s="285"/>
      <c r="I598" s="287"/>
      <c r="J598" s="288"/>
    </row>
    <row r="599" spans="1:10" ht="10.5" customHeight="1" x14ac:dyDescent="0.3">
      <c r="A599" s="24"/>
      <c r="B599" s="2" t="s">
        <v>1</v>
      </c>
      <c r="C599" s="24" t="s">
        <v>28</v>
      </c>
      <c r="D599" s="24" t="s">
        <v>2</v>
      </c>
      <c r="E599" s="24" t="s">
        <v>16</v>
      </c>
      <c r="F599" s="32" t="s">
        <v>27</v>
      </c>
      <c r="G599" s="24" t="s">
        <v>28</v>
      </c>
      <c r="H599" s="285"/>
      <c r="I599" s="287"/>
      <c r="J599" s="288"/>
    </row>
    <row r="600" spans="1:10" ht="10.5" customHeight="1" x14ac:dyDescent="0.3">
      <c r="A600" s="33"/>
      <c r="B600" s="129"/>
      <c r="C600" s="33" t="s">
        <v>24</v>
      </c>
      <c r="D600" s="33"/>
      <c r="E600" s="34"/>
      <c r="F600" s="35"/>
      <c r="G600" s="33" t="s">
        <v>30</v>
      </c>
      <c r="H600" s="285"/>
      <c r="I600" s="287"/>
      <c r="J600" s="288"/>
    </row>
    <row r="601" spans="1:10" ht="10.5" customHeight="1" x14ac:dyDescent="0.3">
      <c r="A601" s="37" t="s">
        <v>20</v>
      </c>
      <c r="B601" s="131" t="s">
        <v>33</v>
      </c>
      <c r="C601" s="184"/>
      <c r="D601" s="184"/>
      <c r="E601" s="38"/>
      <c r="F601" s="38"/>
      <c r="G601" s="38"/>
      <c r="H601" s="285"/>
      <c r="I601" s="287"/>
      <c r="J601" s="288"/>
    </row>
    <row r="602" spans="1:10" ht="10.5" customHeight="1" x14ac:dyDescent="0.3">
      <c r="A602" s="101"/>
      <c r="B602" s="132" t="s">
        <v>7</v>
      </c>
      <c r="C602" s="5">
        <v>134866.62</v>
      </c>
      <c r="D602" s="5">
        <v>628306.38</v>
      </c>
      <c r="E602" s="5">
        <f>C602+D602-G602</f>
        <v>630009.63</v>
      </c>
      <c r="F602" s="5"/>
      <c r="G602" s="5">
        <f>160338.9-27175.53</f>
        <v>133163.37</v>
      </c>
      <c r="H602" s="285"/>
      <c r="I602" s="287"/>
      <c r="J602" s="288"/>
    </row>
    <row r="603" spans="1:10" ht="10.5" customHeight="1" x14ac:dyDescent="0.3">
      <c r="A603" s="101"/>
      <c r="B603" s="132" t="s">
        <v>8</v>
      </c>
      <c r="C603" s="5">
        <f>D603/12</f>
        <v>690.93499999999995</v>
      </c>
      <c r="D603" s="5">
        <v>8291.2199999999993</v>
      </c>
      <c r="E603" s="5">
        <f>C603+D603-G603</f>
        <v>8235.9451999999983</v>
      </c>
      <c r="F603" s="5"/>
      <c r="G603" s="5">
        <f>D603*9%</f>
        <v>746.20979999999986</v>
      </c>
      <c r="H603" s="285"/>
      <c r="I603" s="287"/>
      <c r="J603" s="288"/>
    </row>
    <row r="604" spans="1:10" ht="10.5" customHeight="1" x14ac:dyDescent="0.3">
      <c r="A604" s="101"/>
      <c r="B604" s="132" t="s">
        <v>17</v>
      </c>
      <c r="C604" s="5">
        <f>D604/12</f>
        <v>1010</v>
      </c>
      <c r="D604" s="5">
        <v>12120</v>
      </c>
      <c r="E604" s="5">
        <f>C604+D604-G604</f>
        <v>12039.2</v>
      </c>
      <c r="F604" s="5"/>
      <c r="G604" s="5">
        <f>D604*9%</f>
        <v>1090.8</v>
      </c>
      <c r="H604" s="285"/>
      <c r="I604" s="287"/>
      <c r="J604" s="288"/>
    </row>
    <row r="605" spans="1:10" ht="10.5" customHeight="1" x14ac:dyDescent="0.3">
      <c r="A605" s="101"/>
      <c r="B605" s="135" t="s">
        <v>23</v>
      </c>
      <c r="C605" s="50">
        <f>SUM(C602:C604)</f>
        <v>136567.55499999999</v>
      </c>
      <c r="D605" s="50">
        <f>SUM(D602:D604)</f>
        <v>648717.6</v>
      </c>
      <c r="E605" s="50">
        <f>SUM(E602:E604)</f>
        <v>650284.77519999992</v>
      </c>
      <c r="F605" s="50">
        <f>D605-659.85</f>
        <v>648057.75</v>
      </c>
      <c r="G605" s="50">
        <f>SUM(G602:G604)</f>
        <v>135000.3798</v>
      </c>
      <c r="H605" s="285"/>
      <c r="I605" s="287"/>
      <c r="J605" s="288"/>
    </row>
    <row r="606" spans="1:10" ht="10.5" customHeight="1" x14ac:dyDescent="0.3">
      <c r="A606" s="101"/>
      <c r="B606" s="135"/>
      <c r="C606" s="39"/>
      <c r="D606" s="5"/>
      <c r="E606" s="5"/>
      <c r="F606" s="5"/>
      <c r="G606" s="5"/>
      <c r="H606" s="285"/>
      <c r="I606" s="287"/>
      <c r="J606" s="288"/>
    </row>
    <row r="607" spans="1:10" ht="10.5" customHeight="1" x14ac:dyDescent="0.3">
      <c r="A607" s="39">
        <v>2</v>
      </c>
      <c r="B607" s="152" t="s">
        <v>34</v>
      </c>
      <c r="C607" s="50">
        <v>0</v>
      </c>
      <c r="D607" s="50">
        <v>231142.08</v>
      </c>
      <c r="E607" s="50">
        <f>D607-G607</f>
        <v>191794.16999999998</v>
      </c>
      <c r="F607" s="50">
        <f>D607</f>
        <v>231142.08</v>
      </c>
      <c r="G607" s="50">
        <f>27175.53+11903.72+268.66</f>
        <v>39347.910000000003</v>
      </c>
      <c r="H607" s="285"/>
      <c r="I607" s="287"/>
      <c r="J607" s="288"/>
    </row>
    <row r="608" spans="1:10" ht="10.5" customHeight="1" x14ac:dyDescent="0.3">
      <c r="A608" s="40"/>
      <c r="B608" s="40"/>
      <c r="C608" s="40"/>
      <c r="D608" s="40"/>
      <c r="E608" s="40"/>
      <c r="F608" s="40"/>
      <c r="G608" s="40"/>
      <c r="H608" s="285"/>
      <c r="I608" s="287"/>
      <c r="J608" s="288"/>
    </row>
    <row r="609" spans="1:10" ht="10.5" customHeight="1" x14ac:dyDescent="0.3">
      <c r="A609" s="39" t="s">
        <v>22</v>
      </c>
      <c r="B609" s="137" t="s">
        <v>106</v>
      </c>
      <c r="C609" s="5">
        <v>85743.63</v>
      </c>
      <c r="D609" s="5">
        <v>395131.83</v>
      </c>
      <c r="E609" s="5">
        <f>C609+D609-G609</f>
        <v>398508.33</v>
      </c>
      <c r="F609" s="147"/>
      <c r="G609" s="5">
        <f>94539.51-11903.72-268.66</f>
        <v>82367.12999999999</v>
      </c>
      <c r="H609" s="285"/>
      <c r="I609" s="287"/>
      <c r="J609" s="288"/>
    </row>
    <row r="610" spans="1:10" ht="10.5" customHeight="1" x14ac:dyDescent="0.3">
      <c r="A610" s="39"/>
      <c r="B610" s="138" t="s">
        <v>37</v>
      </c>
      <c r="C610" s="5">
        <f>D610/12</f>
        <v>555.30499999999995</v>
      </c>
      <c r="D610" s="5">
        <v>6663.66</v>
      </c>
      <c r="E610" s="5">
        <f>C610+D610-G610</f>
        <v>6619.2356</v>
      </c>
      <c r="F610" s="139"/>
      <c r="G610" s="5">
        <f>D610*9%</f>
        <v>599.72939999999994</v>
      </c>
      <c r="H610" s="285"/>
      <c r="I610" s="287"/>
      <c r="J610" s="288"/>
    </row>
    <row r="611" spans="1:10" ht="10.5" customHeight="1" x14ac:dyDescent="0.3">
      <c r="A611" s="79"/>
      <c r="B611" s="140" t="s">
        <v>23</v>
      </c>
      <c r="C611" s="80">
        <f>SUM(C609:C610)</f>
        <v>86298.934999999998</v>
      </c>
      <c r="D611" s="185">
        <f>SUM(D609:D610)</f>
        <v>401795.49</v>
      </c>
      <c r="E611" s="80">
        <f>SUM(E609:E610)</f>
        <v>405127.56560000003</v>
      </c>
      <c r="F611" s="186">
        <v>222505.79</v>
      </c>
      <c r="G611" s="80">
        <f>SUM(G609:G610)</f>
        <v>82966.859399999987</v>
      </c>
      <c r="H611" s="285"/>
      <c r="I611" s="287"/>
      <c r="J611" s="288"/>
    </row>
    <row r="612" spans="1:10" ht="10.5" customHeight="1" x14ac:dyDescent="0.3">
      <c r="A612" s="16"/>
      <c r="B612" s="235"/>
      <c r="C612" s="7"/>
      <c r="D612" s="22"/>
      <c r="E612" s="7"/>
      <c r="F612" s="23"/>
      <c r="G612" s="7"/>
      <c r="H612" s="285"/>
      <c r="I612" s="287"/>
      <c r="J612" s="288"/>
    </row>
    <row r="613" spans="1:10" ht="10.5" customHeight="1" x14ac:dyDescent="0.3">
      <c r="A613" s="81"/>
      <c r="B613" s="82" t="s">
        <v>74</v>
      </c>
      <c r="C613" s="90">
        <f>C611+C605+C607</f>
        <v>222866.49</v>
      </c>
      <c r="D613" s="90">
        <f>D611+D605+D607</f>
        <v>1281655.17</v>
      </c>
      <c r="E613" s="90">
        <f>E611+E605+E607</f>
        <v>1247206.5107999998</v>
      </c>
      <c r="F613" s="90">
        <f>F611+F605+F607</f>
        <v>1101705.6200000001</v>
      </c>
      <c r="G613" s="90">
        <f>G611+G605+G607</f>
        <v>257315.14919999999</v>
      </c>
      <c r="H613" s="285"/>
      <c r="I613" s="287"/>
      <c r="J613" s="288"/>
    </row>
    <row r="614" spans="1:10" ht="10.5" customHeight="1" x14ac:dyDescent="0.3">
      <c r="A614" s="130"/>
      <c r="B614" s="36"/>
      <c r="C614" s="30"/>
      <c r="D614" s="36"/>
      <c r="E614" s="36"/>
      <c r="F614" s="36"/>
      <c r="G614" s="44"/>
      <c r="H614" s="285"/>
      <c r="I614" s="287"/>
      <c r="J614" s="288"/>
    </row>
    <row r="615" spans="1:10" ht="10.5" customHeight="1" x14ac:dyDescent="0.3">
      <c r="A615" s="318" t="s">
        <v>18</v>
      </c>
      <c r="B615" s="319"/>
      <c r="C615" s="319"/>
      <c r="D615" s="319"/>
      <c r="E615" s="319"/>
      <c r="F615" s="319"/>
      <c r="G615" s="45"/>
      <c r="H615" s="285"/>
      <c r="I615" s="287"/>
      <c r="J615" s="288"/>
    </row>
    <row r="616" spans="1:10" ht="10.5" customHeight="1" x14ac:dyDescent="0.3">
      <c r="A616" s="1"/>
      <c r="B616" s="2"/>
      <c r="C616" s="29" t="s">
        <v>19</v>
      </c>
      <c r="D616" s="29"/>
      <c r="E616" s="29"/>
      <c r="F616" s="31"/>
      <c r="G616" s="29" t="s">
        <v>19</v>
      </c>
      <c r="H616" s="285"/>
      <c r="I616" s="287"/>
      <c r="J616" s="288"/>
    </row>
    <row r="617" spans="1:10" ht="10.5" customHeight="1" x14ac:dyDescent="0.3">
      <c r="A617" s="1" t="s">
        <v>15</v>
      </c>
      <c r="B617" s="2" t="s">
        <v>1</v>
      </c>
      <c r="C617" s="24" t="s">
        <v>28</v>
      </c>
      <c r="D617" s="24" t="s">
        <v>2</v>
      </c>
      <c r="E617" s="24" t="s">
        <v>16</v>
      </c>
      <c r="F617" s="32" t="s">
        <v>27</v>
      </c>
      <c r="G617" s="24" t="s">
        <v>28</v>
      </c>
      <c r="H617" s="285"/>
      <c r="I617" s="287"/>
      <c r="J617" s="288"/>
    </row>
    <row r="618" spans="1:10" ht="10.5" customHeight="1" x14ac:dyDescent="0.3">
      <c r="A618" s="1"/>
      <c r="B618" s="2"/>
      <c r="C618" s="33" t="s">
        <v>24</v>
      </c>
      <c r="D618" s="33"/>
      <c r="E618" s="34"/>
      <c r="F618" s="35"/>
      <c r="G618" s="33" t="s">
        <v>30</v>
      </c>
      <c r="H618" s="285"/>
      <c r="I618" s="287"/>
      <c r="J618" s="288"/>
    </row>
    <row r="619" spans="1:10" ht="10.5" customHeight="1" x14ac:dyDescent="0.3">
      <c r="A619" s="47" t="s">
        <v>20</v>
      </c>
      <c r="B619" s="143" t="s">
        <v>21</v>
      </c>
      <c r="C619" s="38"/>
      <c r="D619" s="38"/>
      <c r="E619" s="38"/>
      <c r="F619" s="38"/>
      <c r="G619" s="38"/>
      <c r="H619" s="285"/>
      <c r="I619" s="287"/>
      <c r="J619" s="288"/>
    </row>
    <row r="620" spans="1:10" ht="10.5" customHeight="1" x14ac:dyDescent="0.3">
      <c r="A620" s="48"/>
      <c r="B620" s="40" t="s">
        <v>104</v>
      </c>
      <c r="C620" s="71">
        <f>193397.67</f>
        <v>193397.67</v>
      </c>
      <c r="D620" s="5">
        <v>1049515.32</v>
      </c>
      <c r="E620" s="71">
        <f>C620+D620-G620</f>
        <v>1011374.39</v>
      </c>
      <c r="F620" s="77"/>
      <c r="G620" s="56">
        <f>231538.6</f>
        <v>231538.6</v>
      </c>
      <c r="H620" s="285"/>
      <c r="I620" s="287"/>
      <c r="J620" s="288"/>
    </row>
    <row r="621" spans="1:10" ht="10.5" customHeight="1" x14ac:dyDescent="0.3">
      <c r="A621" s="39"/>
      <c r="B621" s="138" t="s">
        <v>118</v>
      </c>
      <c r="C621" s="71">
        <f>D621/12</f>
        <v>1246.3150000000001</v>
      </c>
      <c r="D621" s="5">
        <v>14955.78</v>
      </c>
      <c r="E621" s="71">
        <f>C621+D621-G621</f>
        <v>14856.074800000002</v>
      </c>
      <c r="F621" s="147"/>
      <c r="G621" s="113">
        <f>D621*9%</f>
        <v>1346.0201999999999</v>
      </c>
      <c r="H621" s="285"/>
      <c r="I621" s="287"/>
      <c r="J621" s="288"/>
    </row>
    <row r="622" spans="1:10" ht="10.5" customHeight="1" x14ac:dyDescent="0.3">
      <c r="A622" s="39"/>
      <c r="B622" s="138"/>
      <c r="C622" s="164">
        <f>SUM(C620:C621)</f>
        <v>194643.98500000002</v>
      </c>
      <c r="D622" s="164">
        <f>SUM(D620:D621)</f>
        <v>1064471.1000000001</v>
      </c>
      <c r="E622" s="164">
        <f>SUM(E620:E621)</f>
        <v>1026230.4648</v>
      </c>
      <c r="F622" s="187"/>
      <c r="G622" s="122">
        <f>SUM(G620:G621)</f>
        <v>232884.6202</v>
      </c>
      <c r="H622" s="285"/>
      <c r="I622" s="287"/>
      <c r="J622" s="288"/>
    </row>
    <row r="623" spans="1:10" ht="10.5" customHeight="1" x14ac:dyDescent="0.3">
      <c r="A623" s="39"/>
      <c r="B623" s="138"/>
      <c r="C623" s="71"/>
      <c r="D623" s="5"/>
      <c r="E623" s="71"/>
      <c r="F623" s="147"/>
      <c r="G623" s="84"/>
      <c r="I623" s="287"/>
      <c r="J623" s="288"/>
    </row>
    <row r="624" spans="1:10" ht="10.5" customHeight="1" x14ac:dyDescent="0.3">
      <c r="A624" s="49"/>
      <c r="B624" s="40" t="s">
        <v>111</v>
      </c>
      <c r="C624" s="71">
        <f>33294.81+65454.88+15221.75+2.07</f>
        <v>113973.51000000001</v>
      </c>
      <c r="D624" s="5">
        <f>243222.45+207046.38+0</f>
        <v>450268.83</v>
      </c>
      <c r="E624" s="71">
        <f>C624+D624-G624</f>
        <v>447949.31000000006</v>
      </c>
      <c r="F624" s="77"/>
      <c r="G624" s="56">
        <f>8798.83+88086.25+19407.95+0</f>
        <v>116293.03</v>
      </c>
      <c r="H624" s="285"/>
      <c r="I624" s="287"/>
      <c r="J624" s="288"/>
    </row>
    <row r="625" spans="1:10" ht="10.5" customHeight="1" x14ac:dyDescent="0.3">
      <c r="A625" s="49"/>
      <c r="B625" s="138" t="s">
        <v>118</v>
      </c>
      <c r="C625" s="71">
        <f>D625/12</f>
        <v>1219.9549999999999</v>
      </c>
      <c r="D625" s="5">
        <v>14639.46</v>
      </c>
      <c r="E625" s="71">
        <f>C625+D625-G625</f>
        <v>14541.863599999999</v>
      </c>
      <c r="F625" s="188"/>
      <c r="G625" s="113">
        <f>D625*9%</f>
        <v>1317.5513999999998</v>
      </c>
      <c r="H625" s="285"/>
      <c r="I625" s="287"/>
      <c r="J625" s="288"/>
    </row>
    <row r="626" spans="1:10" ht="10.5" customHeight="1" x14ac:dyDescent="0.3">
      <c r="A626" s="49"/>
      <c r="B626" s="135"/>
      <c r="C626" s="50">
        <f>SUM(C624:C625)</f>
        <v>115193.46500000001</v>
      </c>
      <c r="D626" s="50">
        <f>SUM(D624:D625)</f>
        <v>464908.29000000004</v>
      </c>
      <c r="E626" s="50">
        <f>SUM(E624:E625)</f>
        <v>462491.17360000004</v>
      </c>
      <c r="F626" s="147"/>
      <c r="G626" s="50">
        <f>SUM(G624:G625)</f>
        <v>117610.5814</v>
      </c>
      <c r="H626" s="285"/>
      <c r="I626" s="287"/>
      <c r="J626" s="288"/>
    </row>
    <row r="627" spans="1:10" ht="10.5" customHeight="1" x14ac:dyDescent="0.3">
      <c r="A627" s="49"/>
      <c r="B627" s="135"/>
      <c r="C627" s="50"/>
      <c r="D627" s="50"/>
      <c r="E627" s="50"/>
      <c r="F627" s="147"/>
      <c r="G627" s="50"/>
      <c r="H627" s="285"/>
      <c r="I627" s="287"/>
      <c r="J627" s="288"/>
    </row>
    <row r="628" spans="1:10" ht="10.5" customHeight="1" x14ac:dyDescent="0.3">
      <c r="A628" s="49"/>
      <c r="B628" s="135" t="s">
        <v>79</v>
      </c>
      <c r="C628" s="50">
        <f>C626+C622</f>
        <v>309837.45</v>
      </c>
      <c r="D628" s="50">
        <f>D626+D622</f>
        <v>1529379.3900000001</v>
      </c>
      <c r="E628" s="50">
        <f>E626+E622</f>
        <v>1488721.6384000001</v>
      </c>
      <c r="F628" s="50">
        <f>D628</f>
        <v>1529379.3900000001</v>
      </c>
      <c r="G628" s="50">
        <f>G626+G622</f>
        <v>350495.20160000003</v>
      </c>
      <c r="H628" s="285"/>
      <c r="I628" s="287"/>
      <c r="J628" s="288"/>
    </row>
    <row r="629" spans="1:10" ht="10.5" customHeight="1" x14ac:dyDescent="0.3">
      <c r="A629" s="101" t="s">
        <v>26</v>
      </c>
      <c r="B629" s="137" t="s">
        <v>29</v>
      </c>
      <c r="C629" s="5"/>
      <c r="D629" s="5"/>
      <c r="E629" s="5"/>
      <c r="F629" s="5"/>
      <c r="G629" s="5"/>
      <c r="H629" s="285"/>
      <c r="I629" s="287"/>
      <c r="J629" s="288"/>
    </row>
    <row r="630" spans="1:10" ht="10.5" customHeight="1" x14ac:dyDescent="0.3">
      <c r="A630" s="101"/>
      <c r="B630" s="40" t="s">
        <v>31</v>
      </c>
      <c r="C630" s="43">
        <f>126390.54+63433.19</f>
        <v>189823.72999999998</v>
      </c>
      <c r="D630" s="5">
        <f>496732.9+267321.03</f>
        <v>764053.93</v>
      </c>
      <c r="E630" s="5">
        <f>C630+D630-G630</f>
        <v>752590.34000000008</v>
      </c>
      <c r="F630" s="5"/>
      <c r="G630" s="5">
        <f>127641.91+73645.41</f>
        <v>201287.32</v>
      </c>
      <c r="H630" s="285"/>
      <c r="I630" s="287"/>
      <c r="J630" s="288"/>
    </row>
    <row r="631" spans="1:10" ht="10.5" customHeight="1" x14ac:dyDescent="0.3">
      <c r="A631" s="39"/>
      <c r="B631" s="40" t="s">
        <v>32</v>
      </c>
      <c r="C631" s="43">
        <f>D631/12</f>
        <v>1608.9558333333334</v>
      </c>
      <c r="D631" s="5">
        <f>11447.4+7860.07</f>
        <v>19307.47</v>
      </c>
      <c r="E631" s="5">
        <f>C631+D631-G631</f>
        <v>19178.753533333336</v>
      </c>
      <c r="F631" s="5"/>
      <c r="G631" s="5">
        <f>D631*9%</f>
        <v>1737.6723</v>
      </c>
      <c r="H631" s="285"/>
      <c r="I631" s="287"/>
      <c r="J631" s="288"/>
    </row>
    <row r="632" spans="1:10" ht="10.5" customHeight="1" x14ac:dyDescent="0.3">
      <c r="A632" s="39"/>
      <c r="B632" s="135" t="s">
        <v>23</v>
      </c>
      <c r="C632" s="50">
        <f>SUM(C630:C631)</f>
        <v>191432.68583333332</v>
      </c>
      <c r="D632" s="50">
        <f>SUM(D630:D631)</f>
        <v>783361.4</v>
      </c>
      <c r="E632" s="50">
        <f>SUM(E630:E631)</f>
        <v>771769.09353333339</v>
      </c>
      <c r="F632" s="50">
        <f>D632</f>
        <v>783361.4</v>
      </c>
      <c r="G632" s="50">
        <f>SUM(G630:G631)</f>
        <v>203024.99230000001</v>
      </c>
      <c r="H632" s="285"/>
      <c r="I632" s="287"/>
      <c r="J632" s="288"/>
    </row>
    <row r="633" spans="1:10" ht="10.5" customHeight="1" x14ac:dyDescent="0.3">
      <c r="A633" s="39"/>
      <c r="B633" s="189"/>
      <c r="C633" s="80"/>
      <c r="D633" s="190"/>
      <c r="E633" s="80"/>
      <c r="F633" s="80"/>
      <c r="G633" s="80"/>
      <c r="H633" s="285"/>
      <c r="I633" s="287"/>
      <c r="J633" s="288"/>
    </row>
    <row r="634" spans="1:10" ht="10.5" customHeight="1" x14ac:dyDescent="0.3">
      <c r="A634" s="101" t="s">
        <v>22</v>
      </c>
      <c r="B634" s="183" t="s">
        <v>124</v>
      </c>
      <c r="C634" s="52">
        <v>6506.69</v>
      </c>
      <c r="D634" s="92">
        <v>47663.519999999997</v>
      </c>
      <c r="E634" s="52">
        <f>C634+D634-G634</f>
        <v>45479.59</v>
      </c>
      <c r="F634" s="52"/>
      <c r="G634" s="52">
        <v>8690.6200000000008</v>
      </c>
      <c r="H634" s="285"/>
      <c r="I634" s="287"/>
      <c r="J634" s="288"/>
    </row>
    <row r="635" spans="1:10" ht="10.5" customHeight="1" x14ac:dyDescent="0.3">
      <c r="A635" s="1"/>
      <c r="B635" s="282" t="s">
        <v>117</v>
      </c>
      <c r="C635" s="17">
        <v>55.59</v>
      </c>
      <c r="D635" s="107">
        <v>680.84</v>
      </c>
      <c r="E635" s="17">
        <f>C635+D635-G635</f>
        <v>678.58</v>
      </c>
      <c r="F635" s="17"/>
      <c r="G635" s="17">
        <v>57.85</v>
      </c>
      <c r="H635" s="285"/>
      <c r="I635" s="287"/>
      <c r="J635" s="288"/>
    </row>
    <row r="636" spans="1:10" ht="10.5" customHeight="1" x14ac:dyDescent="0.3">
      <c r="A636" s="1"/>
      <c r="B636" s="135" t="s">
        <v>23</v>
      </c>
      <c r="C636" s="7">
        <f>SUM(C634:C635)</f>
        <v>6562.28</v>
      </c>
      <c r="D636" s="7">
        <f t="shared" ref="D636:G636" si="11">SUM(D634:D635)</f>
        <v>48344.359999999993</v>
      </c>
      <c r="E636" s="7">
        <f t="shared" si="11"/>
        <v>46158.17</v>
      </c>
      <c r="F636" s="7">
        <f>D636</f>
        <v>48344.359999999993</v>
      </c>
      <c r="G636" s="7">
        <f t="shared" si="11"/>
        <v>8748.4700000000012</v>
      </c>
      <c r="H636" s="285"/>
      <c r="I636" s="287"/>
      <c r="J636" s="288"/>
    </row>
    <row r="637" spans="1:10" ht="10.5" customHeight="1" x14ac:dyDescent="0.3">
      <c r="A637" s="1"/>
      <c r="B637" s="201"/>
      <c r="C637" s="17"/>
      <c r="D637" s="107"/>
      <c r="E637" s="17"/>
      <c r="F637" s="17"/>
      <c r="G637" s="17"/>
      <c r="H637" s="285"/>
      <c r="I637" s="287"/>
      <c r="J637" s="288"/>
    </row>
    <row r="638" spans="1:10" ht="10.5" customHeight="1" x14ac:dyDescent="0.3">
      <c r="A638" s="82"/>
      <c r="B638" s="82" t="s">
        <v>74</v>
      </c>
      <c r="C638" s="90">
        <f>C636+C632+C628</f>
        <v>507832.41583333333</v>
      </c>
      <c r="D638" s="90">
        <f>D636+D632+D628</f>
        <v>2361085.1500000004</v>
      </c>
      <c r="E638" s="90">
        <f>E636+E632+E628</f>
        <v>2306648.9019333334</v>
      </c>
      <c r="F638" s="90">
        <f>F636+F632+F628</f>
        <v>2361085.1500000004</v>
      </c>
      <c r="G638" s="90">
        <f>G636+G632+G628</f>
        <v>562268.66390000004</v>
      </c>
      <c r="H638" s="285"/>
      <c r="I638" s="287"/>
      <c r="J638" s="288"/>
    </row>
    <row r="639" spans="1:10" ht="11.1" customHeight="1" x14ac:dyDescent="0.3">
      <c r="A639" s="148"/>
      <c r="B639" s="148"/>
      <c r="C639" s="148"/>
      <c r="D639" s="148"/>
      <c r="E639" s="148"/>
      <c r="F639" s="148"/>
      <c r="G639" s="148"/>
      <c r="H639" s="285"/>
      <c r="I639" s="287"/>
      <c r="J639" s="288"/>
    </row>
    <row r="640" spans="1:10" ht="11.1" customHeight="1" x14ac:dyDescent="0.3">
      <c r="A640" s="305" t="s">
        <v>6</v>
      </c>
      <c r="B640" s="305"/>
      <c r="C640" s="305"/>
      <c r="D640" s="305"/>
      <c r="E640" s="305"/>
      <c r="F640" s="305"/>
      <c r="G640" s="305"/>
      <c r="H640" s="285"/>
      <c r="I640" s="287"/>
      <c r="J640" s="288"/>
    </row>
    <row r="641" spans="1:10" ht="11.1" customHeight="1" x14ac:dyDescent="0.3">
      <c r="A641" s="305" t="s">
        <v>35</v>
      </c>
      <c r="B641" s="305"/>
      <c r="C641" s="305"/>
      <c r="D641" s="305"/>
      <c r="E641" s="305"/>
      <c r="F641" s="305"/>
      <c r="G641" s="305"/>
      <c r="H641" s="285"/>
      <c r="I641" s="287"/>
      <c r="J641" s="288"/>
    </row>
    <row r="642" spans="1:10" ht="11.1" customHeight="1" x14ac:dyDescent="0.3">
      <c r="A642" s="311" t="s">
        <v>36</v>
      </c>
      <c r="B642" s="311"/>
      <c r="C642" s="311"/>
      <c r="D642" s="311"/>
      <c r="E642" s="311"/>
      <c r="F642" s="311"/>
      <c r="G642" s="311"/>
      <c r="H642" s="285"/>
      <c r="I642" s="287"/>
      <c r="J642" s="288"/>
    </row>
    <row r="643" spans="1:10" ht="11.1" customHeight="1" x14ac:dyDescent="0.3">
      <c r="A643" s="312" t="s">
        <v>52</v>
      </c>
      <c r="B643" s="313"/>
      <c r="C643" s="313"/>
      <c r="D643" s="313"/>
      <c r="E643" s="313"/>
      <c r="F643" s="313"/>
      <c r="G643" s="314"/>
      <c r="H643" s="285"/>
      <c r="I643" s="287"/>
      <c r="J643" s="288"/>
    </row>
    <row r="644" spans="1:10" ht="11.1" customHeight="1" x14ac:dyDescent="0.3">
      <c r="A644" s="25"/>
      <c r="B644" s="292" t="s">
        <v>3</v>
      </c>
      <c r="C644" s="293"/>
      <c r="D644" s="293"/>
      <c r="E644" s="293"/>
      <c r="F644" s="293"/>
      <c r="G644" s="294"/>
      <c r="H644" s="285"/>
      <c r="I644" s="287"/>
      <c r="J644" s="288"/>
    </row>
    <row r="645" spans="1:10" ht="11.1" customHeight="1" x14ac:dyDescent="0.3">
      <c r="A645" s="26">
        <v>1</v>
      </c>
      <c r="B645" s="295" t="s">
        <v>4</v>
      </c>
      <c r="C645" s="296"/>
      <c r="D645" s="296"/>
      <c r="E645" s="297"/>
      <c r="F645" s="298">
        <v>1992</v>
      </c>
      <c r="G645" s="299"/>
      <c r="H645" s="285"/>
      <c r="I645" s="287"/>
      <c r="J645" s="288"/>
    </row>
    <row r="646" spans="1:10" ht="11.1" customHeight="1" x14ac:dyDescent="0.3">
      <c r="A646" s="27">
        <v>2</v>
      </c>
      <c r="B646" s="300" t="s">
        <v>12</v>
      </c>
      <c r="C646" s="301"/>
      <c r="D646" s="301"/>
      <c r="E646" s="302"/>
      <c r="F646" s="303">
        <v>5</v>
      </c>
      <c r="G646" s="304"/>
      <c r="H646" s="285"/>
      <c r="I646" s="287"/>
      <c r="J646" s="288"/>
    </row>
    <row r="647" spans="1:10" ht="11.1" customHeight="1" x14ac:dyDescent="0.3">
      <c r="A647" s="27">
        <v>3</v>
      </c>
      <c r="B647" s="300" t="s">
        <v>14</v>
      </c>
      <c r="C647" s="301"/>
      <c r="D647" s="301"/>
      <c r="E647" s="302"/>
      <c r="F647" s="303">
        <v>1</v>
      </c>
      <c r="G647" s="304"/>
      <c r="H647" s="285"/>
      <c r="I647" s="287"/>
      <c r="J647" s="288"/>
    </row>
    <row r="648" spans="1:10" ht="11.1" customHeight="1" x14ac:dyDescent="0.3">
      <c r="A648" s="27">
        <v>4</v>
      </c>
      <c r="B648" s="300" t="s">
        <v>13</v>
      </c>
      <c r="C648" s="301"/>
      <c r="D648" s="301"/>
      <c r="E648" s="302"/>
      <c r="F648" s="303">
        <v>70</v>
      </c>
      <c r="G648" s="304"/>
      <c r="H648" s="285"/>
      <c r="I648" s="287"/>
      <c r="J648" s="288"/>
    </row>
    <row r="649" spans="1:10" ht="11.1" customHeight="1" x14ac:dyDescent="0.3">
      <c r="A649" s="27">
        <v>5</v>
      </c>
      <c r="B649" s="300" t="s">
        <v>10</v>
      </c>
      <c r="C649" s="301"/>
      <c r="D649" s="301"/>
      <c r="E649" s="302"/>
      <c r="F649" s="303">
        <v>488.1</v>
      </c>
      <c r="G649" s="304"/>
      <c r="H649" s="285"/>
      <c r="I649" s="287"/>
      <c r="J649" s="288"/>
    </row>
    <row r="650" spans="1:10" ht="11.1" customHeight="1" x14ac:dyDescent="0.3">
      <c r="A650" s="27">
        <v>6</v>
      </c>
      <c r="B650" s="300" t="s">
        <v>11</v>
      </c>
      <c r="C650" s="301"/>
      <c r="D650" s="301"/>
      <c r="E650" s="302"/>
      <c r="F650" s="303">
        <v>2507.1</v>
      </c>
      <c r="G650" s="304"/>
      <c r="H650" s="285"/>
      <c r="I650" s="287"/>
      <c r="J650" s="288"/>
    </row>
    <row r="651" spans="1:10" ht="11.1" customHeight="1" x14ac:dyDescent="0.3">
      <c r="A651" s="28">
        <v>7</v>
      </c>
      <c r="B651" s="306" t="s">
        <v>9</v>
      </c>
      <c r="C651" s="307"/>
      <c r="D651" s="307"/>
      <c r="E651" s="308"/>
      <c r="F651" s="309">
        <v>0</v>
      </c>
      <c r="G651" s="310"/>
      <c r="H651" s="285"/>
      <c r="I651" s="287"/>
      <c r="J651" s="288"/>
    </row>
    <row r="652" spans="1:10" ht="11.1" customHeight="1" x14ac:dyDescent="0.3">
      <c r="A652" s="255"/>
      <c r="B652" s="251"/>
      <c r="C652" s="251"/>
      <c r="D652" s="251"/>
      <c r="E652" s="251"/>
      <c r="F652" s="256"/>
      <c r="G652" s="250"/>
      <c r="H652" s="285"/>
      <c r="I652" s="287"/>
      <c r="J652" s="288"/>
    </row>
    <row r="653" spans="1:10" ht="11.1" customHeight="1" x14ac:dyDescent="0.3">
      <c r="A653" s="315" t="s">
        <v>99</v>
      </c>
      <c r="B653" s="316"/>
      <c r="C653" s="316"/>
      <c r="D653" s="316"/>
      <c r="E653" s="316"/>
      <c r="F653" s="316"/>
      <c r="G653" s="317"/>
      <c r="H653" s="285"/>
      <c r="I653" s="287"/>
      <c r="J653" s="288"/>
    </row>
    <row r="654" spans="1:10" ht="11.1" customHeight="1" x14ac:dyDescent="0.3">
      <c r="A654" s="29"/>
      <c r="B654" s="30"/>
      <c r="C654" s="29" t="s">
        <v>19</v>
      </c>
      <c r="D654" s="29"/>
      <c r="E654" s="29"/>
      <c r="F654" s="31"/>
      <c r="G654" s="29" t="s">
        <v>19</v>
      </c>
      <c r="H654" s="285"/>
      <c r="I654" s="287"/>
      <c r="J654" s="288"/>
    </row>
    <row r="655" spans="1:10" ht="11.1" customHeight="1" x14ac:dyDescent="0.3">
      <c r="A655" s="24"/>
      <c r="B655" s="2" t="s">
        <v>1</v>
      </c>
      <c r="C655" s="24" t="s">
        <v>28</v>
      </c>
      <c r="D655" s="24" t="s">
        <v>2</v>
      </c>
      <c r="E655" s="24" t="s">
        <v>16</v>
      </c>
      <c r="F655" s="32" t="s">
        <v>27</v>
      </c>
      <c r="G655" s="24" t="s">
        <v>28</v>
      </c>
      <c r="H655" s="285"/>
      <c r="I655" s="287"/>
      <c r="J655" s="288"/>
    </row>
    <row r="656" spans="1:10" ht="11.1" customHeight="1" x14ac:dyDescent="0.3">
      <c r="A656" s="33"/>
      <c r="B656" s="129"/>
      <c r="C656" s="33" t="s">
        <v>24</v>
      </c>
      <c r="D656" s="33"/>
      <c r="E656" s="34"/>
      <c r="F656" s="35"/>
      <c r="G656" s="33" t="s">
        <v>30</v>
      </c>
      <c r="H656" s="285"/>
      <c r="I656" s="287"/>
      <c r="J656" s="288"/>
    </row>
    <row r="657" spans="1:10" ht="11.1" customHeight="1" x14ac:dyDescent="0.3">
      <c r="A657" s="37" t="s">
        <v>20</v>
      </c>
      <c r="B657" s="131" t="s">
        <v>33</v>
      </c>
      <c r="C657" s="42"/>
      <c r="D657" s="42"/>
      <c r="E657" s="38"/>
      <c r="F657" s="38"/>
      <c r="G657" s="38"/>
      <c r="H657" s="285"/>
      <c r="I657" s="287"/>
      <c r="J657" s="288"/>
    </row>
    <row r="658" spans="1:10" ht="11.1" customHeight="1" x14ac:dyDescent="0.3">
      <c r="A658" s="101"/>
      <c r="B658" s="132" t="s">
        <v>7</v>
      </c>
      <c r="C658" s="39">
        <v>52074.22</v>
      </c>
      <c r="D658" s="5">
        <v>261272.75</v>
      </c>
      <c r="E658" s="5">
        <f>C658+D658-G658</f>
        <v>267086.74</v>
      </c>
      <c r="F658" s="5"/>
      <c r="G658" s="5">
        <f>55092.23-8832</f>
        <v>46260.23</v>
      </c>
      <c r="H658" s="285"/>
      <c r="I658" s="287"/>
      <c r="J658" s="288"/>
    </row>
    <row r="659" spans="1:10" ht="11.1" customHeight="1" x14ac:dyDescent="0.3">
      <c r="A659" s="101"/>
      <c r="B659" s="132" t="s">
        <v>17</v>
      </c>
      <c r="C659" s="39">
        <f>D659/12</f>
        <v>270</v>
      </c>
      <c r="D659" s="5">
        <v>3240</v>
      </c>
      <c r="E659" s="5">
        <f>C659+D659-G659</f>
        <v>3218.4</v>
      </c>
      <c r="F659" s="5"/>
      <c r="G659" s="5">
        <f>D659*9%</f>
        <v>291.59999999999997</v>
      </c>
      <c r="H659" s="285"/>
      <c r="I659" s="287"/>
      <c r="J659" s="288"/>
    </row>
    <row r="660" spans="1:10" ht="11.1" customHeight="1" x14ac:dyDescent="0.3">
      <c r="A660" s="101"/>
      <c r="B660" s="135" t="s">
        <v>23</v>
      </c>
      <c r="C660" s="101">
        <f>SUM(C658:C659)</f>
        <v>52344.22</v>
      </c>
      <c r="D660" s="50">
        <f>SUM(D658:D659)</f>
        <v>264512.75</v>
      </c>
      <c r="E660" s="50">
        <f>SUM(E658:E659)</f>
        <v>270305.14</v>
      </c>
      <c r="F660" s="50">
        <f>D660+8558.54</f>
        <v>273071.28999999998</v>
      </c>
      <c r="G660" s="50">
        <f>SUM(G658:G659)</f>
        <v>46551.83</v>
      </c>
      <c r="H660" s="285"/>
      <c r="I660" s="287"/>
      <c r="J660" s="288"/>
    </row>
    <row r="661" spans="1:10" ht="11.1" customHeight="1" x14ac:dyDescent="0.3">
      <c r="A661" s="101"/>
      <c r="B661" s="135"/>
      <c r="C661" s="39"/>
      <c r="D661" s="5"/>
      <c r="E661" s="5"/>
      <c r="F661" s="5"/>
      <c r="G661" s="5"/>
      <c r="H661" s="285"/>
      <c r="I661" s="287"/>
      <c r="J661" s="288"/>
    </row>
    <row r="662" spans="1:10" ht="11.1" customHeight="1" x14ac:dyDescent="0.3">
      <c r="A662" s="39">
        <v>2</v>
      </c>
      <c r="B662" s="152" t="s">
        <v>34</v>
      </c>
      <c r="C662" s="5">
        <v>0</v>
      </c>
      <c r="D662" s="50">
        <v>92506.94</v>
      </c>
      <c r="E662" s="50">
        <f>D662-G662</f>
        <v>78306.53</v>
      </c>
      <c r="F662" s="50">
        <f>D662</f>
        <v>92506.94</v>
      </c>
      <c r="G662" s="50">
        <f>8832+5195.48+172.93</f>
        <v>14200.41</v>
      </c>
      <c r="H662" s="285"/>
      <c r="I662" s="287"/>
      <c r="J662" s="288"/>
    </row>
    <row r="663" spans="1:10" ht="11.1" customHeight="1" x14ac:dyDescent="0.3">
      <c r="A663" s="40"/>
      <c r="B663" s="40"/>
      <c r="C663" s="137"/>
      <c r="D663" s="137"/>
      <c r="E663" s="137"/>
      <c r="F663" s="137"/>
      <c r="G663" s="137"/>
      <c r="H663" s="285"/>
      <c r="I663" s="287"/>
      <c r="J663" s="288"/>
    </row>
    <row r="664" spans="1:10" ht="11.1" customHeight="1" x14ac:dyDescent="0.3">
      <c r="A664" s="79" t="s">
        <v>22</v>
      </c>
      <c r="B664" s="182" t="s">
        <v>50</v>
      </c>
      <c r="C664" s="80">
        <v>37068.03</v>
      </c>
      <c r="D664" s="80">
        <v>194338.03</v>
      </c>
      <c r="E664" s="80">
        <f>C664+D664-G664</f>
        <v>197385.91999999998</v>
      </c>
      <c r="F664" s="191">
        <v>97859.37</v>
      </c>
      <c r="G664" s="80">
        <f>39388.55-5195.48-172.93</f>
        <v>34020.140000000007</v>
      </c>
      <c r="H664" s="285"/>
      <c r="I664" s="287"/>
      <c r="J664" s="288"/>
    </row>
    <row r="665" spans="1:10" ht="11.1" customHeight="1" x14ac:dyDescent="0.3">
      <c r="A665" s="16"/>
      <c r="B665" s="202"/>
      <c r="C665" s="7"/>
      <c r="D665" s="7"/>
      <c r="E665" s="7"/>
      <c r="F665" s="191"/>
      <c r="G665" s="7"/>
      <c r="H665" s="285"/>
      <c r="I665" s="287"/>
      <c r="J665" s="288"/>
    </row>
    <row r="666" spans="1:10" ht="11.1" customHeight="1" x14ac:dyDescent="0.3">
      <c r="A666" s="81"/>
      <c r="B666" s="82" t="s">
        <v>74</v>
      </c>
      <c r="C666" s="90">
        <f>C664+C662+C660</f>
        <v>89412.25</v>
      </c>
      <c r="D666" s="90">
        <f>D664+D662+D660</f>
        <v>551357.72</v>
      </c>
      <c r="E666" s="90">
        <f>E664+E662+E660</f>
        <v>545997.59</v>
      </c>
      <c r="F666" s="90">
        <f>F664+F662+F660</f>
        <v>463437.6</v>
      </c>
      <c r="G666" s="90">
        <f>G664+G662+G660</f>
        <v>94772.38</v>
      </c>
      <c r="H666" s="285"/>
      <c r="I666" s="287"/>
      <c r="J666" s="288"/>
    </row>
    <row r="667" spans="1:10" ht="11.1" customHeight="1" x14ac:dyDescent="0.3">
      <c r="A667" s="130"/>
      <c r="B667" s="36"/>
      <c r="C667" s="30"/>
      <c r="D667" s="36"/>
      <c r="E667" s="36"/>
      <c r="F667" s="36"/>
      <c r="G667" s="44"/>
      <c r="H667" s="285"/>
      <c r="I667" s="287"/>
      <c r="J667" s="288"/>
    </row>
    <row r="668" spans="1:10" ht="11.1" customHeight="1" x14ac:dyDescent="0.3">
      <c r="A668" s="318" t="s">
        <v>18</v>
      </c>
      <c r="B668" s="319"/>
      <c r="C668" s="319"/>
      <c r="D668" s="319"/>
      <c r="E668" s="319"/>
      <c r="F668" s="319"/>
      <c r="G668" s="45"/>
      <c r="H668" s="285"/>
      <c r="I668" s="287"/>
      <c r="J668" s="288"/>
    </row>
    <row r="669" spans="1:10" ht="11.1" customHeight="1" x14ac:dyDescent="0.3">
      <c r="A669" s="1"/>
      <c r="B669" s="2"/>
      <c r="C669" s="29" t="s">
        <v>19</v>
      </c>
      <c r="D669" s="29"/>
      <c r="E669" s="29"/>
      <c r="F669" s="31"/>
      <c r="G669" s="29" t="s">
        <v>19</v>
      </c>
      <c r="H669" s="285"/>
      <c r="I669" s="287"/>
      <c r="J669" s="288"/>
    </row>
    <row r="670" spans="1:10" ht="11.1" customHeight="1" x14ac:dyDescent="0.3">
      <c r="A670" s="1" t="s">
        <v>15</v>
      </c>
      <c r="B670" s="2" t="s">
        <v>1</v>
      </c>
      <c r="C670" s="24" t="s">
        <v>28</v>
      </c>
      <c r="D670" s="24" t="s">
        <v>2</v>
      </c>
      <c r="E670" s="24" t="s">
        <v>16</v>
      </c>
      <c r="F670" s="32" t="s">
        <v>27</v>
      </c>
      <c r="G670" s="24" t="s">
        <v>28</v>
      </c>
      <c r="H670" s="285"/>
      <c r="I670" s="287"/>
      <c r="J670" s="288"/>
    </row>
    <row r="671" spans="1:10" ht="11.1" customHeight="1" x14ac:dyDescent="0.3">
      <c r="A671" s="1"/>
      <c r="B671" s="2"/>
      <c r="C671" s="33" t="s">
        <v>24</v>
      </c>
      <c r="D671" s="33"/>
      <c r="E671" s="34"/>
      <c r="F671" s="35"/>
      <c r="G671" s="33" t="s">
        <v>30</v>
      </c>
      <c r="H671" s="285"/>
      <c r="I671" s="287"/>
      <c r="J671" s="288"/>
    </row>
    <row r="672" spans="1:10" ht="11.1" customHeight="1" x14ac:dyDescent="0.3">
      <c r="A672" s="47" t="s">
        <v>20</v>
      </c>
      <c r="B672" s="143" t="s">
        <v>21</v>
      </c>
      <c r="C672" s="38"/>
      <c r="D672" s="38"/>
      <c r="E672" s="38"/>
      <c r="F672" s="38"/>
      <c r="G672" s="38"/>
      <c r="H672" s="285"/>
      <c r="I672" s="287"/>
      <c r="J672" s="288"/>
    </row>
    <row r="673" spans="1:10" ht="11.1" customHeight="1" x14ac:dyDescent="0.3">
      <c r="A673" s="48"/>
      <c r="B673" s="40" t="s">
        <v>89</v>
      </c>
      <c r="C673" s="53">
        <f>75092.87</f>
        <v>75092.87</v>
      </c>
      <c r="D673" s="5">
        <v>479424.03</v>
      </c>
      <c r="E673" s="56">
        <f>C673+D673-G673</f>
        <v>460996.7</v>
      </c>
      <c r="F673" s="76"/>
      <c r="G673" s="53">
        <v>93520.2</v>
      </c>
      <c r="H673" s="285"/>
      <c r="I673" s="287"/>
      <c r="J673" s="288"/>
    </row>
    <row r="674" spans="1:10" ht="11.1" customHeight="1" x14ac:dyDescent="0.3">
      <c r="A674" s="49"/>
      <c r="B674" s="40" t="s">
        <v>90</v>
      </c>
      <c r="C674" s="56">
        <f>D674/12</f>
        <v>16939.372500000001</v>
      </c>
      <c r="D674" s="5">
        <f>133986.72+69285.75+0</f>
        <v>203272.47</v>
      </c>
      <c r="E674" s="56">
        <f>C674+D674-G674</f>
        <v>182940.29249999998</v>
      </c>
      <c r="F674" s="76"/>
      <c r="G674" s="56">
        <f>3638.14+28173.86+5459.55</f>
        <v>37271.550000000003</v>
      </c>
      <c r="H674" s="285"/>
      <c r="I674" s="287"/>
      <c r="J674" s="288"/>
    </row>
    <row r="675" spans="1:10" ht="11.1" customHeight="1" x14ac:dyDescent="0.3">
      <c r="A675" s="49"/>
      <c r="B675" s="135" t="s">
        <v>23</v>
      </c>
      <c r="C675" s="50">
        <f>SUM(C673:C674)</f>
        <v>92032.242499999993</v>
      </c>
      <c r="D675" s="50">
        <f>SUM(D673:D674)</f>
        <v>682696.5</v>
      </c>
      <c r="E675" s="50">
        <f>SUM(E673:E674)</f>
        <v>643936.99249999993</v>
      </c>
      <c r="F675" s="50">
        <v>683577.71</v>
      </c>
      <c r="G675" s="50">
        <f>SUM(G673:G674)</f>
        <v>130791.75</v>
      </c>
      <c r="H675" s="285"/>
      <c r="I675" s="287"/>
      <c r="J675" s="288"/>
    </row>
    <row r="676" spans="1:10" ht="11.1" customHeight="1" x14ac:dyDescent="0.3">
      <c r="A676" s="49"/>
      <c r="B676" s="138"/>
      <c r="C676" s="5"/>
      <c r="D676" s="14"/>
      <c r="E676" s="5"/>
      <c r="F676" s="14"/>
      <c r="G676" s="5"/>
      <c r="H676" s="285"/>
      <c r="I676" s="287"/>
      <c r="J676" s="288"/>
    </row>
    <row r="677" spans="1:10" ht="11.1" customHeight="1" x14ac:dyDescent="0.3">
      <c r="A677" s="101" t="s">
        <v>26</v>
      </c>
      <c r="B677" s="137" t="s">
        <v>29</v>
      </c>
      <c r="C677" s="58">
        <f>40007.09+23797.6</f>
        <v>63804.689999999995</v>
      </c>
      <c r="D677" s="50">
        <f>217431.2+119930.89</f>
        <v>337362.09</v>
      </c>
      <c r="E677" s="50">
        <f>C677+D677-G677</f>
        <v>339352.41000000003</v>
      </c>
      <c r="F677" s="50">
        <f>D677+3327.99</f>
        <v>340690.08</v>
      </c>
      <c r="G677" s="50">
        <f>39285.09+22529.28</f>
        <v>61814.369999999995</v>
      </c>
      <c r="H677" s="285"/>
      <c r="I677" s="287"/>
      <c r="J677" s="288"/>
    </row>
    <row r="678" spans="1:10" ht="11.1" customHeight="1" x14ac:dyDescent="0.3">
      <c r="A678" s="101"/>
      <c r="B678" s="40"/>
      <c r="C678" s="58"/>
      <c r="D678" s="78"/>
      <c r="E678" s="50"/>
      <c r="F678" s="50"/>
      <c r="G678" s="50"/>
      <c r="H678" s="285"/>
      <c r="I678" s="287"/>
      <c r="J678" s="288"/>
    </row>
    <row r="679" spans="1:10" ht="11.1" customHeight="1" x14ac:dyDescent="0.3">
      <c r="A679" s="101" t="s">
        <v>22</v>
      </c>
      <c r="B679" s="137" t="s">
        <v>69</v>
      </c>
      <c r="C679" s="5">
        <v>50128</v>
      </c>
      <c r="D679" s="13">
        <v>233523.14</v>
      </c>
      <c r="E679" s="5">
        <v>255222.39</v>
      </c>
      <c r="F679" s="5">
        <f>235966.24+25919.04</f>
        <v>261885.28</v>
      </c>
      <c r="G679" s="5">
        <f>C679+D679-E679</f>
        <v>28428.75</v>
      </c>
      <c r="H679" s="285"/>
      <c r="I679" s="287"/>
      <c r="J679" s="288"/>
    </row>
    <row r="680" spans="1:10" ht="11.1" customHeight="1" x14ac:dyDescent="0.3">
      <c r="A680" s="1"/>
      <c r="B680" s="174"/>
      <c r="C680" s="10"/>
      <c r="D680" s="15"/>
      <c r="E680" s="10"/>
      <c r="F680" s="10"/>
      <c r="G680" s="10"/>
      <c r="H680" s="285"/>
      <c r="I680" s="287"/>
      <c r="J680" s="288"/>
    </row>
    <row r="681" spans="1:10" ht="11.1" customHeight="1" x14ac:dyDescent="0.3">
      <c r="A681" s="81"/>
      <c r="B681" s="82" t="s">
        <v>74</v>
      </c>
      <c r="C681" s="90">
        <f>C679+C677+C675</f>
        <v>205964.9325</v>
      </c>
      <c r="D681" s="90">
        <f>D679+D677+D675</f>
        <v>1253581.73</v>
      </c>
      <c r="E681" s="90">
        <f>E679+E677+E675</f>
        <v>1238511.7925</v>
      </c>
      <c r="F681" s="90">
        <f>F679+F677+F675</f>
        <v>1286153.0699999998</v>
      </c>
      <c r="G681" s="90">
        <f>G679+G677+G675</f>
        <v>221034.87</v>
      </c>
      <c r="H681" s="285"/>
      <c r="I681" s="287"/>
      <c r="J681" s="288"/>
    </row>
    <row r="682" spans="1:10" ht="11.1" customHeight="1" x14ac:dyDescent="0.3">
      <c r="A682" s="148"/>
      <c r="B682" s="148"/>
      <c r="C682" s="148"/>
      <c r="D682" s="148"/>
      <c r="E682" s="148"/>
      <c r="F682" s="148"/>
      <c r="G682" s="148"/>
      <c r="H682" s="285"/>
      <c r="I682" s="287"/>
      <c r="J682" s="288"/>
    </row>
    <row r="683" spans="1:10" ht="11.1" customHeight="1" x14ac:dyDescent="0.3">
      <c r="A683" s="148"/>
      <c r="B683" s="148"/>
      <c r="C683" s="148"/>
      <c r="D683" s="148"/>
      <c r="E683" s="148"/>
      <c r="F683" s="148"/>
      <c r="G683" s="148"/>
      <c r="H683" s="285"/>
      <c r="I683" s="287"/>
      <c r="J683" s="288"/>
    </row>
    <row r="684" spans="1:10" ht="11.1" customHeight="1" x14ac:dyDescent="0.3">
      <c r="A684" s="148"/>
      <c r="B684" s="148"/>
      <c r="C684" s="148"/>
      <c r="D684" s="148"/>
      <c r="E684" s="148"/>
      <c r="F684" s="148"/>
      <c r="G684" s="148"/>
      <c r="H684" s="285"/>
      <c r="I684" s="287"/>
      <c r="J684" s="288"/>
    </row>
    <row r="685" spans="1:10" ht="11.1" customHeight="1" x14ac:dyDescent="0.3">
      <c r="A685" s="148"/>
      <c r="B685" s="148"/>
      <c r="C685" s="148"/>
      <c r="D685" s="148"/>
      <c r="E685" s="148"/>
      <c r="F685" s="148"/>
      <c r="G685" s="148"/>
      <c r="H685" s="285"/>
      <c r="I685" s="287"/>
      <c r="J685" s="288"/>
    </row>
    <row r="686" spans="1:10" ht="11.1" customHeight="1" x14ac:dyDescent="0.3">
      <c r="A686" s="148"/>
      <c r="B686" s="148"/>
      <c r="C686" s="148"/>
      <c r="D686" s="148"/>
      <c r="E686" s="148"/>
      <c r="F686" s="148"/>
      <c r="G686" s="148"/>
      <c r="H686" s="285"/>
      <c r="I686" s="287"/>
      <c r="J686" s="288"/>
    </row>
    <row r="687" spans="1:10" ht="11.1" customHeight="1" x14ac:dyDescent="0.3">
      <c r="A687" s="148"/>
      <c r="B687" s="148"/>
      <c r="C687" s="148"/>
      <c r="D687" s="148"/>
      <c r="E687" s="148"/>
      <c r="F687" s="148"/>
      <c r="G687" s="148"/>
      <c r="H687" s="285"/>
      <c r="I687" s="287"/>
      <c r="J687" s="288"/>
    </row>
    <row r="688" spans="1:10" ht="11.1" customHeight="1" x14ac:dyDescent="0.3">
      <c r="A688" s="148"/>
      <c r="B688" s="148"/>
      <c r="C688" s="148"/>
      <c r="D688" s="148"/>
      <c r="E688" s="148"/>
      <c r="F688" s="148"/>
      <c r="G688" s="148"/>
      <c r="H688" s="285"/>
      <c r="I688" s="287"/>
      <c r="J688" s="288"/>
    </row>
    <row r="689" spans="1:10" ht="11.1" customHeight="1" x14ac:dyDescent="0.3">
      <c r="A689" s="148"/>
      <c r="B689" s="148"/>
      <c r="C689" s="148"/>
      <c r="D689" s="148"/>
      <c r="E689" s="148"/>
      <c r="F689" s="148"/>
      <c r="G689" s="148"/>
      <c r="H689" s="285"/>
      <c r="I689" s="287"/>
      <c r="J689" s="288"/>
    </row>
    <row r="690" spans="1:10" ht="11.1" customHeight="1" x14ac:dyDescent="0.3">
      <c r="A690" s="148"/>
      <c r="B690" s="148"/>
      <c r="C690" s="148"/>
      <c r="D690" s="148"/>
      <c r="E690" s="148"/>
      <c r="F690" s="148"/>
      <c r="G690" s="148"/>
      <c r="H690" s="285"/>
      <c r="I690" s="287"/>
      <c r="J690" s="288"/>
    </row>
    <row r="691" spans="1:10" ht="11.1" customHeight="1" x14ac:dyDescent="0.3">
      <c r="A691" s="148"/>
      <c r="B691" s="148"/>
      <c r="C691" s="148"/>
      <c r="D691" s="148"/>
      <c r="E691" s="148"/>
      <c r="F691" s="148"/>
      <c r="G691" s="148"/>
      <c r="H691" s="285"/>
      <c r="I691" s="287"/>
      <c r="J691" s="288"/>
    </row>
    <row r="692" spans="1:10" ht="11.1" customHeight="1" x14ac:dyDescent="0.3">
      <c r="A692" s="305" t="s">
        <v>6</v>
      </c>
      <c r="B692" s="305"/>
      <c r="C692" s="305"/>
      <c r="D692" s="305"/>
      <c r="E692" s="305"/>
      <c r="F692" s="305"/>
      <c r="G692" s="305"/>
      <c r="H692" s="285"/>
      <c r="I692" s="287"/>
      <c r="J692" s="288"/>
    </row>
    <row r="693" spans="1:10" ht="11.1" customHeight="1" x14ac:dyDescent="0.3">
      <c r="A693" s="305" t="s">
        <v>35</v>
      </c>
      <c r="B693" s="305"/>
      <c r="C693" s="305"/>
      <c r="D693" s="305"/>
      <c r="E693" s="305"/>
      <c r="F693" s="305"/>
      <c r="G693" s="305"/>
      <c r="H693" s="285"/>
      <c r="I693" s="287"/>
      <c r="J693" s="288"/>
    </row>
    <row r="694" spans="1:10" ht="11.1" customHeight="1" x14ac:dyDescent="0.3">
      <c r="A694" s="311" t="s">
        <v>36</v>
      </c>
      <c r="B694" s="311"/>
      <c r="C694" s="311"/>
      <c r="D694" s="311"/>
      <c r="E694" s="311"/>
      <c r="F694" s="311"/>
      <c r="G694" s="311"/>
      <c r="H694" s="285"/>
      <c r="I694" s="287"/>
      <c r="J694" s="288"/>
    </row>
    <row r="695" spans="1:10" ht="11.1" customHeight="1" x14ac:dyDescent="0.3">
      <c r="A695" s="312" t="s">
        <v>53</v>
      </c>
      <c r="B695" s="313"/>
      <c r="C695" s="313"/>
      <c r="D695" s="313"/>
      <c r="E695" s="313"/>
      <c r="F695" s="313"/>
      <c r="G695" s="314"/>
      <c r="H695" s="285"/>
      <c r="I695" s="287"/>
      <c r="J695" s="288"/>
    </row>
    <row r="696" spans="1:10" ht="11.1" customHeight="1" x14ac:dyDescent="0.3">
      <c r="A696" s="25"/>
      <c r="B696" s="292" t="s">
        <v>3</v>
      </c>
      <c r="C696" s="293"/>
      <c r="D696" s="293"/>
      <c r="E696" s="293"/>
      <c r="F696" s="293"/>
      <c r="G696" s="294"/>
      <c r="H696" s="285"/>
      <c r="I696" s="287"/>
      <c r="J696" s="288"/>
    </row>
    <row r="697" spans="1:10" ht="11.1" customHeight="1" x14ac:dyDescent="0.3">
      <c r="A697" s="26">
        <v>1</v>
      </c>
      <c r="B697" s="295" t="s">
        <v>4</v>
      </c>
      <c r="C697" s="296"/>
      <c r="D697" s="296"/>
      <c r="E697" s="297"/>
      <c r="F697" s="298">
        <v>1983</v>
      </c>
      <c r="G697" s="299"/>
      <c r="H697" s="285"/>
      <c r="I697" s="287"/>
      <c r="J697" s="288"/>
    </row>
    <row r="698" spans="1:10" ht="11.1" customHeight="1" x14ac:dyDescent="0.3">
      <c r="A698" s="27">
        <v>2</v>
      </c>
      <c r="B698" s="300" t="s">
        <v>12</v>
      </c>
      <c r="C698" s="301"/>
      <c r="D698" s="301"/>
      <c r="E698" s="302"/>
      <c r="F698" s="303">
        <v>5</v>
      </c>
      <c r="G698" s="304"/>
      <c r="H698" s="285"/>
      <c r="I698" s="287"/>
      <c r="J698" s="288"/>
    </row>
    <row r="699" spans="1:10" ht="11.1" customHeight="1" x14ac:dyDescent="0.3">
      <c r="A699" s="27">
        <v>3</v>
      </c>
      <c r="B699" s="300" t="s">
        <v>14</v>
      </c>
      <c r="C699" s="301"/>
      <c r="D699" s="301"/>
      <c r="E699" s="302"/>
      <c r="F699" s="303">
        <v>4</v>
      </c>
      <c r="G699" s="304"/>
      <c r="H699" s="285"/>
      <c r="I699" s="287"/>
      <c r="J699" s="288"/>
    </row>
    <row r="700" spans="1:10" ht="11.1" customHeight="1" x14ac:dyDescent="0.3">
      <c r="A700" s="27">
        <v>4</v>
      </c>
      <c r="B700" s="300" t="s">
        <v>13</v>
      </c>
      <c r="C700" s="301"/>
      <c r="D700" s="301"/>
      <c r="E700" s="302"/>
      <c r="F700" s="303">
        <v>60</v>
      </c>
      <c r="G700" s="304"/>
      <c r="H700" s="285"/>
      <c r="I700" s="287"/>
      <c r="J700" s="288"/>
    </row>
    <row r="701" spans="1:10" ht="11.1" customHeight="1" x14ac:dyDescent="0.3">
      <c r="A701" s="27">
        <v>5</v>
      </c>
      <c r="B701" s="300" t="s">
        <v>10</v>
      </c>
      <c r="C701" s="301"/>
      <c r="D701" s="301"/>
      <c r="E701" s="302"/>
      <c r="F701" s="303">
        <v>278.39999999999998</v>
      </c>
      <c r="G701" s="304"/>
      <c r="H701" s="285"/>
      <c r="I701" s="287"/>
      <c r="J701" s="288"/>
    </row>
    <row r="702" spans="1:10" ht="11.1" customHeight="1" x14ac:dyDescent="0.3">
      <c r="A702" s="27">
        <v>6</v>
      </c>
      <c r="B702" s="300" t="s">
        <v>11</v>
      </c>
      <c r="C702" s="301"/>
      <c r="D702" s="301"/>
      <c r="E702" s="302"/>
      <c r="F702" s="303">
        <v>2796.5</v>
      </c>
      <c r="G702" s="304"/>
      <c r="H702" s="285"/>
      <c r="I702" s="287"/>
      <c r="J702" s="288"/>
    </row>
    <row r="703" spans="1:10" ht="11.1" customHeight="1" x14ac:dyDescent="0.3">
      <c r="A703" s="28">
        <v>7</v>
      </c>
      <c r="B703" s="306" t="s">
        <v>9</v>
      </c>
      <c r="C703" s="307"/>
      <c r="D703" s="307"/>
      <c r="E703" s="308"/>
      <c r="F703" s="309">
        <v>0</v>
      </c>
      <c r="G703" s="310"/>
      <c r="H703" s="285"/>
      <c r="I703" s="287"/>
      <c r="J703" s="288"/>
    </row>
    <row r="704" spans="1:10" ht="11.1" customHeight="1" x14ac:dyDescent="0.3">
      <c r="A704" s="255"/>
      <c r="B704" s="251"/>
      <c r="C704" s="251"/>
      <c r="D704" s="251"/>
      <c r="E704" s="251"/>
      <c r="F704" s="256"/>
      <c r="G704" s="250"/>
      <c r="H704" s="285"/>
      <c r="I704" s="287"/>
      <c r="J704" s="288"/>
    </row>
    <row r="705" spans="1:10" ht="11.1" customHeight="1" x14ac:dyDescent="0.3">
      <c r="A705" s="315" t="s">
        <v>99</v>
      </c>
      <c r="B705" s="316"/>
      <c r="C705" s="316"/>
      <c r="D705" s="316"/>
      <c r="E705" s="316"/>
      <c r="F705" s="316"/>
      <c r="G705" s="317"/>
      <c r="H705" s="285"/>
      <c r="I705" s="287"/>
      <c r="J705" s="288"/>
    </row>
    <row r="706" spans="1:10" ht="11.1" customHeight="1" x14ac:dyDescent="0.3">
      <c r="A706" s="29"/>
      <c r="B706" s="30"/>
      <c r="C706" s="29" t="s">
        <v>19</v>
      </c>
      <c r="D706" s="29"/>
      <c r="E706" s="29"/>
      <c r="F706" s="31"/>
      <c r="G706" s="29" t="s">
        <v>19</v>
      </c>
      <c r="H706" s="285"/>
      <c r="I706" s="287"/>
      <c r="J706" s="288"/>
    </row>
    <row r="707" spans="1:10" ht="11.1" customHeight="1" x14ac:dyDescent="0.3">
      <c r="A707" s="24"/>
      <c r="B707" s="2" t="s">
        <v>1</v>
      </c>
      <c r="C707" s="24" t="s">
        <v>28</v>
      </c>
      <c r="D707" s="24" t="s">
        <v>2</v>
      </c>
      <c r="E707" s="24" t="s">
        <v>16</v>
      </c>
      <c r="F707" s="32" t="s">
        <v>27</v>
      </c>
      <c r="G707" s="24" t="s">
        <v>28</v>
      </c>
      <c r="H707" s="285"/>
      <c r="I707" s="287"/>
      <c r="J707" s="288"/>
    </row>
    <row r="708" spans="1:10" ht="11.1" customHeight="1" x14ac:dyDescent="0.3">
      <c r="A708" s="33"/>
      <c r="B708" s="129"/>
      <c r="C708" s="33" t="s">
        <v>24</v>
      </c>
      <c r="D708" s="33"/>
      <c r="E708" s="34"/>
      <c r="F708" s="35"/>
      <c r="G708" s="33" t="s">
        <v>30</v>
      </c>
      <c r="H708" s="285"/>
      <c r="I708" s="287"/>
      <c r="J708" s="288"/>
    </row>
    <row r="709" spans="1:10" ht="11.1" customHeight="1" x14ac:dyDescent="0.3">
      <c r="A709" s="37" t="s">
        <v>20</v>
      </c>
      <c r="B709" s="131" t="s">
        <v>33</v>
      </c>
      <c r="C709" s="42"/>
      <c r="D709" s="70"/>
      <c r="E709" s="38"/>
      <c r="F709" s="38"/>
      <c r="G709" s="38"/>
      <c r="H709" s="285"/>
      <c r="I709" s="287"/>
      <c r="J709" s="288"/>
    </row>
    <row r="710" spans="1:10" ht="11.1" customHeight="1" x14ac:dyDescent="0.3">
      <c r="A710" s="101"/>
      <c r="B710" s="132" t="s">
        <v>7</v>
      </c>
      <c r="C710" s="39">
        <v>23039.05</v>
      </c>
      <c r="D710" s="5">
        <v>253979.81</v>
      </c>
      <c r="E710" s="5">
        <f>C710+D710-G710</f>
        <v>243836.02999999997</v>
      </c>
      <c r="F710" s="5"/>
      <c r="G710" s="5">
        <f>43654.07-10471.24</f>
        <v>33182.83</v>
      </c>
      <c r="H710" s="285"/>
      <c r="I710" s="287"/>
      <c r="J710" s="288"/>
    </row>
    <row r="711" spans="1:10" ht="11.1" customHeight="1" x14ac:dyDescent="0.3">
      <c r="A711" s="101"/>
      <c r="B711" s="132" t="s">
        <v>17</v>
      </c>
      <c r="C711" s="39">
        <f>D711/12</f>
        <v>480</v>
      </c>
      <c r="D711" s="5">
        <v>5760</v>
      </c>
      <c r="E711" s="5">
        <f>C711+D711-G711</f>
        <v>5721.6</v>
      </c>
      <c r="F711" s="5"/>
      <c r="G711" s="5">
        <f>D711*9%</f>
        <v>518.4</v>
      </c>
      <c r="H711" s="285"/>
      <c r="I711" s="287"/>
      <c r="J711" s="288"/>
    </row>
    <row r="712" spans="1:10" ht="11.1" customHeight="1" x14ac:dyDescent="0.3">
      <c r="A712" s="101"/>
      <c r="B712" s="135" t="s">
        <v>23</v>
      </c>
      <c r="C712" s="50">
        <f>SUM(C710:C711)</f>
        <v>23519.05</v>
      </c>
      <c r="D712" s="50">
        <f>SUM(D710:D711)</f>
        <v>259739.81</v>
      </c>
      <c r="E712" s="50">
        <f>SUM(E710:E711)</f>
        <v>249557.62999999998</v>
      </c>
      <c r="F712" s="50">
        <f>D712+2784.45</f>
        <v>262524.26</v>
      </c>
      <c r="G712" s="50">
        <f>SUM(G710:G711)</f>
        <v>33701.230000000003</v>
      </c>
      <c r="H712" s="285"/>
      <c r="I712" s="287"/>
      <c r="J712" s="288"/>
    </row>
    <row r="713" spans="1:10" ht="11.1" customHeight="1" x14ac:dyDescent="0.3">
      <c r="A713" s="101"/>
      <c r="B713" s="135"/>
      <c r="C713" s="39"/>
      <c r="D713" s="5"/>
      <c r="E713" s="5"/>
      <c r="F713" s="5"/>
      <c r="G713" s="5"/>
      <c r="H713" s="285"/>
      <c r="I713" s="287"/>
      <c r="J713" s="288"/>
    </row>
    <row r="714" spans="1:10" ht="11.1" customHeight="1" x14ac:dyDescent="0.3">
      <c r="A714" s="39">
        <v>2</v>
      </c>
      <c r="B714" s="152" t="s">
        <v>34</v>
      </c>
      <c r="C714" s="50">
        <v>0</v>
      </c>
      <c r="D714" s="50">
        <v>103188.69</v>
      </c>
      <c r="E714" s="50">
        <f>D714-G714</f>
        <v>86352.63</v>
      </c>
      <c r="F714" s="50">
        <f>D714</f>
        <v>103188.69</v>
      </c>
      <c r="G714" s="50">
        <f>10471.24+6251.99+112.83</f>
        <v>16836.060000000001</v>
      </c>
      <c r="H714" s="285"/>
      <c r="I714" s="287"/>
      <c r="J714" s="288"/>
    </row>
    <row r="715" spans="1:10" ht="11.1" customHeight="1" x14ac:dyDescent="0.3">
      <c r="A715" s="40"/>
      <c r="B715" s="40"/>
      <c r="C715" s="40"/>
      <c r="D715" s="40"/>
      <c r="E715" s="40"/>
      <c r="F715" s="40"/>
      <c r="G715" s="40"/>
      <c r="H715" s="285"/>
      <c r="I715" s="287"/>
      <c r="J715" s="288"/>
    </row>
    <row r="716" spans="1:10" ht="11.1" customHeight="1" x14ac:dyDescent="0.3">
      <c r="A716" s="79" t="s">
        <v>22</v>
      </c>
      <c r="B716" s="182" t="s">
        <v>50</v>
      </c>
      <c r="C716" s="80">
        <v>18872.09</v>
      </c>
      <c r="D716" s="80">
        <v>216785.94</v>
      </c>
      <c r="E716" s="80">
        <f>C716+D716-G716</f>
        <v>208660.72999999998</v>
      </c>
      <c r="F716" s="191">
        <f>95862.75</f>
        <v>95862.75</v>
      </c>
      <c r="G716" s="80">
        <f>33362.12-6251.99-112.83</f>
        <v>26997.300000000003</v>
      </c>
      <c r="H716" s="285"/>
      <c r="I716" s="287"/>
      <c r="J716" s="288"/>
    </row>
    <row r="717" spans="1:10" ht="11.1" customHeight="1" x14ac:dyDescent="0.3">
      <c r="A717" s="16"/>
      <c r="B717" s="202"/>
      <c r="C717" s="7"/>
      <c r="D717" s="7"/>
      <c r="E717" s="7"/>
      <c r="F717" s="191"/>
      <c r="G717" s="7"/>
      <c r="H717" s="285"/>
      <c r="I717" s="287"/>
      <c r="J717" s="288"/>
    </row>
    <row r="718" spans="1:10" ht="11.1" customHeight="1" x14ac:dyDescent="0.3">
      <c r="A718" s="81"/>
      <c r="B718" s="82" t="s">
        <v>74</v>
      </c>
      <c r="C718" s="90">
        <f>C716+C714+C712</f>
        <v>42391.14</v>
      </c>
      <c r="D718" s="90">
        <f>D716+D714+D712</f>
        <v>579714.43999999994</v>
      </c>
      <c r="E718" s="90">
        <f>E716+E714+E712</f>
        <v>544570.99</v>
      </c>
      <c r="F718" s="90">
        <f>F716+F714+F712</f>
        <v>461575.7</v>
      </c>
      <c r="G718" s="90">
        <f>G716+G714+G712</f>
        <v>77534.59</v>
      </c>
      <c r="H718" s="285"/>
      <c r="I718" s="287"/>
      <c r="J718" s="288"/>
    </row>
    <row r="719" spans="1:10" ht="11.1" customHeight="1" x14ac:dyDescent="0.3">
      <c r="A719" s="130"/>
      <c r="B719" s="36"/>
      <c r="C719" s="30"/>
      <c r="D719" s="36"/>
      <c r="E719" s="36"/>
      <c r="F719" s="36"/>
      <c r="G719" s="44"/>
      <c r="H719" s="285"/>
      <c r="I719" s="287"/>
      <c r="J719" s="288"/>
    </row>
    <row r="720" spans="1:10" ht="11.1" customHeight="1" x14ac:dyDescent="0.3">
      <c r="A720" s="318" t="s">
        <v>18</v>
      </c>
      <c r="B720" s="319"/>
      <c r="C720" s="319"/>
      <c r="D720" s="319"/>
      <c r="E720" s="319"/>
      <c r="F720" s="319"/>
      <c r="G720" s="45"/>
      <c r="H720" s="285"/>
      <c r="I720" s="287"/>
      <c r="J720" s="288"/>
    </row>
    <row r="721" spans="1:10" ht="11.1" customHeight="1" x14ac:dyDescent="0.3">
      <c r="A721" s="1"/>
      <c r="B721" s="2"/>
      <c r="C721" s="29" t="s">
        <v>19</v>
      </c>
      <c r="D721" s="29"/>
      <c r="E721" s="29"/>
      <c r="F721" s="31"/>
      <c r="G721" s="29" t="s">
        <v>19</v>
      </c>
      <c r="H721" s="285"/>
      <c r="I721" s="287"/>
      <c r="J721" s="288"/>
    </row>
    <row r="722" spans="1:10" ht="11.1" customHeight="1" x14ac:dyDescent="0.3">
      <c r="A722" s="1" t="s">
        <v>15</v>
      </c>
      <c r="B722" s="2" t="s">
        <v>1</v>
      </c>
      <c r="C722" s="24" t="s">
        <v>28</v>
      </c>
      <c r="D722" s="24" t="s">
        <v>2</v>
      </c>
      <c r="E722" s="24" t="s">
        <v>16</v>
      </c>
      <c r="F722" s="32" t="s">
        <v>27</v>
      </c>
      <c r="G722" s="24" t="s">
        <v>28</v>
      </c>
      <c r="H722" s="285"/>
      <c r="I722" s="287"/>
      <c r="J722" s="288"/>
    </row>
    <row r="723" spans="1:10" ht="11.1" customHeight="1" x14ac:dyDescent="0.3">
      <c r="A723" s="1"/>
      <c r="B723" s="2"/>
      <c r="C723" s="33" t="s">
        <v>24</v>
      </c>
      <c r="D723" s="33"/>
      <c r="E723" s="34"/>
      <c r="F723" s="35"/>
      <c r="G723" s="33" t="s">
        <v>30</v>
      </c>
      <c r="H723" s="285"/>
      <c r="I723" s="287"/>
      <c r="J723" s="288"/>
    </row>
    <row r="724" spans="1:10" ht="11.1" customHeight="1" x14ac:dyDescent="0.3">
      <c r="A724" s="47" t="s">
        <v>20</v>
      </c>
      <c r="B724" s="143" t="s">
        <v>21</v>
      </c>
      <c r="C724" s="38"/>
      <c r="D724" s="38"/>
      <c r="E724" s="38"/>
      <c r="F724" s="38"/>
      <c r="G724" s="38"/>
      <c r="H724" s="285"/>
      <c r="I724" s="287"/>
      <c r="J724" s="288"/>
    </row>
    <row r="725" spans="1:10" ht="11.1" customHeight="1" x14ac:dyDescent="0.3">
      <c r="A725" s="48"/>
      <c r="B725" s="40" t="s">
        <v>72</v>
      </c>
      <c r="C725" s="53">
        <v>38771.339999999997</v>
      </c>
      <c r="D725" s="5">
        <v>584071.56999999995</v>
      </c>
      <c r="E725" s="56">
        <f>C725+D725-G725</f>
        <v>534625.71</v>
      </c>
      <c r="F725" s="56"/>
      <c r="G725" s="53">
        <v>88217.2</v>
      </c>
      <c r="H725" s="285"/>
      <c r="I725" s="287"/>
      <c r="J725" s="288"/>
    </row>
    <row r="726" spans="1:10" ht="11.1" customHeight="1" x14ac:dyDescent="0.3">
      <c r="A726" s="49"/>
      <c r="B726" s="40" t="s">
        <v>71</v>
      </c>
      <c r="C726" s="55">
        <f>75.46+17090.39+1941.13</f>
        <v>19106.98</v>
      </c>
      <c r="D726" s="5">
        <v>227189.6</v>
      </c>
      <c r="E726" s="55">
        <f>C726+D726-G726</f>
        <v>213462.59000000003</v>
      </c>
      <c r="F726" s="55"/>
      <c r="G726" s="55">
        <f>27496.19+5337.8</f>
        <v>32833.99</v>
      </c>
      <c r="H726" s="285"/>
      <c r="I726" s="287"/>
      <c r="J726" s="288"/>
    </row>
    <row r="727" spans="1:10" ht="11.1" customHeight="1" x14ac:dyDescent="0.3">
      <c r="A727" s="49"/>
      <c r="B727" s="135" t="s">
        <v>23</v>
      </c>
      <c r="C727" s="50">
        <f>SUM(C725:C726)</f>
        <v>57878.319999999992</v>
      </c>
      <c r="D727" s="50">
        <f>SUM(D725:D726)</f>
        <v>811261.16999999993</v>
      </c>
      <c r="E727" s="50">
        <f>SUM(E725:E726)</f>
        <v>748088.3</v>
      </c>
      <c r="F727" s="50">
        <f>D727</f>
        <v>811261.16999999993</v>
      </c>
      <c r="G727" s="50">
        <f>SUM(G725:G726)</f>
        <v>121051.19</v>
      </c>
      <c r="H727" s="285"/>
      <c r="I727" s="287"/>
      <c r="J727" s="288"/>
    </row>
    <row r="728" spans="1:10" ht="11.1" customHeight="1" x14ac:dyDescent="0.3">
      <c r="A728" s="49"/>
      <c r="B728" s="135"/>
      <c r="C728" s="50"/>
      <c r="D728" s="50"/>
      <c r="E728" s="50"/>
      <c r="F728" s="50"/>
      <c r="G728" s="50"/>
      <c r="H728" s="285"/>
      <c r="I728" s="287"/>
      <c r="J728" s="288"/>
    </row>
    <row r="729" spans="1:10" ht="11.1" customHeight="1" x14ac:dyDescent="0.3">
      <c r="A729" s="101"/>
      <c r="B729" s="137" t="s">
        <v>29</v>
      </c>
      <c r="C729" s="43">
        <f>19724.17+11212.33</f>
        <v>30936.5</v>
      </c>
      <c r="D729" s="5">
        <f>250612.44+140216.85</f>
        <v>390829.29000000004</v>
      </c>
      <c r="E729" s="5">
        <f>C729+D729-G729</f>
        <v>364294.53</v>
      </c>
      <c r="F729" s="5">
        <f>D729</f>
        <v>390829.29000000004</v>
      </c>
      <c r="G729" s="5">
        <f>36882.5+20588.76</f>
        <v>57471.259999999995</v>
      </c>
      <c r="H729" s="285"/>
      <c r="I729" s="287"/>
      <c r="J729" s="288"/>
    </row>
    <row r="730" spans="1:10" ht="11.1" customHeight="1" x14ac:dyDescent="0.3">
      <c r="A730" s="101"/>
      <c r="B730" s="115"/>
      <c r="C730" s="43"/>
      <c r="D730" s="13"/>
      <c r="E730" s="5"/>
      <c r="F730" s="5"/>
      <c r="G730" s="5"/>
      <c r="H730" s="285"/>
      <c r="I730" s="287"/>
      <c r="J730" s="288"/>
    </row>
    <row r="731" spans="1:10" ht="11.1" customHeight="1" x14ac:dyDescent="0.3">
      <c r="A731" s="100" t="s">
        <v>22</v>
      </c>
      <c r="B731" s="183" t="s">
        <v>73</v>
      </c>
      <c r="C731" s="52">
        <v>30060.69</v>
      </c>
      <c r="D731" s="190">
        <v>307544.46000000002</v>
      </c>
      <c r="E731" s="80">
        <v>311497.03000000003</v>
      </c>
      <c r="F731" s="80">
        <v>307769.25</v>
      </c>
      <c r="G731" s="52">
        <f>C731+D731-E731</f>
        <v>26108.119999999995</v>
      </c>
      <c r="H731" s="285"/>
      <c r="I731" s="287"/>
      <c r="J731" s="288"/>
    </row>
    <row r="732" spans="1:10" ht="11.1" customHeight="1" x14ac:dyDescent="0.3">
      <c r="A732" s="1"/>
      <c r="B732" s="201"/>
      <c r="C732" s="17"/>
      <c r="D732" s="107"/>
      <c r="E732" s="17"/>
      <c r="F732" s="17"/>
      <c r="G732" s="17"/>
      <c r="H732" s="285"/>
      <c r="I732" s="287"/>
      <c r="J732" s="288"/>
    </row>
    <row r="733" spans="1:10" ht="11.1" customHeight="1" x14ac:dyDescent="0.3">
      <c r="A733" s="81"/>
      <c r="B733" s="82" t="s">
        <v>74</v>
      </c>
      <c r="C733" s="90">
        <f>C731+C729+C727</f>
        <v>118875.51</v>
      </c>
      <c r="D733" s="90">
        <f>D731+D729+D727</f>
        <v>1509634.92</v>
      </c>
      <c r="E733" s="90">
        <f>E731+E729+E727</f>
        <v>1423879.86</v>
      </c>
      <c r="F733" s="90">
        <f>F731+F729+F727</f>
        <v>1509859.71</v>
      </c>
      <c r="G733" s="90">
        <f>G731+G729+G727</f>
        <v>204630.57</v>
      </c>
      <c r="H733" s="285"/>
      <c r="I733" s="287"/>
      <c r="J733" s="288"/>
    </row>
    <row r="734" spans="1:10" ht="11.1" customHeight="1" x14ac:dyDescent="0.3">
      <c r="A734" s="148"/>
      <c r="B734" s="148"/>
      <c r="C734" s="148"/>
      <c r="D734" s="181"/>
      <c r="E734" s="148"/>
      <c r="F734" s="148"/>
      <c r="G734" s="148"/>
      <c r="H734" s="285"/>
      <c r="I734" s="287"/>
      <c r="J734" s="288"/>
    </row>
    <row r="735" spans="1:10" ht="11.1" customHeight="1" x14ac:dyDescent="0.3">
      <c r="A735" s="148"/>
      <c r="B735" s="148"/>
      <c r="C735" s="148"/>
      <c r="D735" s="148"/>
      <c r="E735" s="148"/>
      <c r="F735" s="148"/>
      <c r="G735" s="148"/>
      <c r="H735" s="285"/>
      <c r="I735" s="287"/>
      <c r="J735" s="288"/>
    </row>
    <row r="736" spans="1:10" ht="11.1" customHeight="1" x14ac:dyDescent="0.3">
      <c r="A736" s="148"/>
      <c r="B736" s="148"/>
      <c r="C736" s="148"/>
      <c r="D736" s="148"/>
      <c r="E736" s="148"/>
      <c r="F736" s="148"/>
      <c r="G736" s="148"/>
      <c r="H736" s="285"/>
      <c r="I736" s="287"/>
      <c r="J736" s="288"/>
    </row>
    <row r="737" spans="1:10" ht="11.1" customHeight="1" x14ac:dyDescent="0.3">
      <c r="A737" s="148"/>
      <c r="B737" s="148"/>
      <c r="C737" s="148"/>
      <c r="D737" s="148"/>
      <c r="E737" s="148"/>
      <c r="F737" s="148"/>
      <c r="G737" s="148"/>
      <c r="H737" s="285"/>
      <c r="I737" s="287"/>
      <c r="J737" s="288"/>
    </row>
    <row r="738" spans="1:10" ht="11.1" customHeight="1" x14ac:dyDescent="0.3">
      <c r="A738" s="148"/>
      <c r="B738" s="148"/>
      <c r="C738" s="148"/>
      <c r="D738" s="148"/>
      <c r="E738" s="148"/>
      <c r="F738" s="148"/>
      <c r="G738" s="148"/>
      <c r="H738" s="285"/>
      <c r="I738" s="287"/>
      <c r="J738" s="288"/>
    </row>
    <row r="739" spans="1:10" ht="11.1" customHeight="1" x14ac:dyDescent="0.3">
      <c r="A739" s="148"/>
      <c r="B739" s="148"/>
      <c r="C739" s="148"/>
      <c r="D739" s="148"/>
      <c r="E739" s="148"/>
      <c r="F739" s="148"/>
      <c r="G739" s="148"/>
      <c r="H739" s="285"/>
      <c r="I739" s="287"/>
      <c r="J739" s="288"/>
    </row>
    <row r="740" spans="1:10" ht="11.1" customHeight="1" x14ac:dyDescent="0.3">
      <c r="A740" s="148"/>
      <c r="B740" s="148"/>
      <c r="C740" s="148"/>
      <c r="D740" s="148"/>
      <c r="E740" s="148"/>
      <c r="F740" s="148"/>
      <c r="G740" s="148"/>
      <c r="H740" s="285"/>
      <c r="I740" s="287"/>
      <c r="J740" s="288"/>
    </row>
    <row r="741" spans="1:10" ht="11.1" customHeight="1" x14ac:dyDescent="0.3">
      <c r="A741" s="148"/>
      <c r="B741" s="148"/>
      <c r="C741" s="148"/>
      <c r="D741" s="148"/>
      <c r="E741" s="148"/>
      <c r="F741" s="148"/>
      <c r="G741" s="148"/>
      <c r="H741" s="285"/>
      <c r="I741" s="287"/>
      <c r="J741" s="288"/>
    </row>
    <row r="742" spans="1:10" ht="11.1" customHeight="1" x14ac:dyDescent="0.3">
      <c r="A742" s="148"/>
      <c r="B742" s="148"/>
      <c r="C742" s="148"/>
      <c r="D742" s="148"/>
      <c r="E742" s="148"/>
      <c r="F742" s="148"/>
      <c r="G742" s="148"/>
      <c r="H742" s="285"/>
      <c r="I742" s="287"/>
      <c r="J742" s="288"/>
    </row>
    <row r="743" spans="1:10" ht="11.1" customHeight="1" x14ac:dyDescent="0.3">
      <c r="A743" s="148"/>
      <c r="B743" s="148"/>
      <c r="C743" s="148"/>
      <c r="D743" s="148"/>
      <c r="E743" s="148"/>
      <c r="F743" s="148"/>
      <c r="G743" s="148"/>
      <c r="H743" s="285"/>
      <c r="I743" s="287"/>
      <c r="J743" s="288"/>
    </row>
    <row r="744" spans="1:10" ht="11.1" customHeight="1" x14ac:dyDescent="0.3">
      <c r="A744" s="148"/>
      <c r="B744" s="148"/>
      <c r="C744" s="148"/>
      <c r="D744" s="148"/>
      <c r="E744" s="148"/>
      <c r="F744" s="148"/>
      <c r="G744" s="148"/>
      <c r="H744" s="285"/>
      <c r="I744" s="287"/>
      <c r="J744" s="288"/>
    </row>
    <row r="745" spans="1:10" ht="10.5" customHeight="1" x14ac:dyDescent="0.3">
      <c r="A745" s="305" t="s">
        <v>6</v>
      </c>
      <c r="B745" s="305"/>
      <c r="C745" s="305"/>
      <c r="D745" s="305"/>
      <c r="E745" s="305"/>
      <c r="F745" s="305"/>
      <c r="G745" s="305"/>
      <c r="H745" s="285"/>
      <c r="I745" s="287"/>
      <c r="J745" s="288"/>
    </row>
    <row r="746" spans="1:10" ht="10.5" customHeight="1" x14ac:dyDescent="0.3">
      <c r="A746" s="305" t="s">
        <v>35</v>
      </c>
      <c r="B746" s="305"/>
      <c r="C746" s="305"/>
      <c r="D746" s="305"/>
      <c r="E746" s="305"/>
      <c r="F746" s="305"/>
      <c r="G746" s="305"/>
      <c r="H746" s="285"/>
      <c r="I746" s="287"/>
      <c r="J746" s="288"/>
    </row>
    <row r="747" spans="1:10" ht="10.5" customHeight="1" x14ac:dyDescent="0.3">
      <c r="A747" s="311" t="s">
        <v>36</v>
      </c>
      <c r="B747" s="311"/>
      <c r="C747" s="311"/>
      <c r="D747" s="311"/>
      <c r="E747" s="311"/>
      <c r="F747" s="311"/>
      <c r="G747" s="311"/>
      <c r="H747" s="285"/>
      <c r="I747" s="287"/>
      <c r="J747" s="288"/>
    </row>
    <row r="748" spans="1:10" ht="10.5" customHeight="1" x14ac:dyDescent="0.3">
      <c r="A748" s="312" t="s">
        <v>54</v>
      </c>
      <c r="B748" s="313"/>
      <c r="C748" s="313"/>
      <c r="D748" s="313"/>
      <c r="E748" s="313"/>
      <c r="F748" s="313"/>
      <c r="G748" s="314"/>
      <c r="H748" s="285"/>
      <c r="I748" s="287"/>
      <c r="J748" s="288"/>
    </row>
    <row r="749" spans="1:10" ht="10.5" customHeight="1" x14ac:dyDescent="0.3">
      <c r="A749" s="25"/>
      <c r="B749" s="292" t="s">
        <v>3</v>
      </c>
      <c r="C749" s="293"/>
      <c r="D749" s="293"/>
      <c r="E749" s="293"/>
      <c r="F749" s="293"/>
      <c r="G749" s="294"/>
      <c r="H749" s="285"/>
      <c r="I749" s="287"/>
      <c r="J749" s="288"/>
    </row>
    <row r="750" spans="1:10" ht="10.5" customHeight="1" x14ac:dyDescent="0.3">
      <c r="A750" s="26">
        <v>1</v>
      </c>
      <c r="B750" s="295" t="s">
        <v>4</v>
      </c>
      <c r="C750" s="296"/>
      <c r="D750" s="296"/>
      <c r="E750" s="297"/>
      <c r="F750" s="298">
        <v>1981</v>
      </c>
      <c r="G750" s="299"/>
      <c r="H750" s="285"/>
      <c r="I750" s="287"/>
      <c r="J750" s="288"/>
    </row>
    <row r="751" spans="1:10" ht="10.5" customHeight="1" x14ac:dyDescent="0.3">
      <c r="A751" s="27">
        <v>2</v>
      </c>
      <c r="B751" s="300" t="s">
        <v>12</v>
      </c>
      <c r="C751" s="301"/>
      <c r="D751" s="301"/>
      <c r="E751" s="302"/>
      <c r="F751" s="303">
        <v>5</v>
      </c>
      <c r="G751" s="304"/>
      <c r="H751" s="285"/>
      <c r="I751" s="287"/>
      <c r="J751" s="288"/>
    </row>
    <row r="752" spans="1:10" ht="10.5" customHeight="1" x14ac:dyDescent="0.3">
      <c r="A752" s="27">
        <v>3</v>
      </c>
      <c r="B752" s="300" t="s">
        <v>14</v>
      </c>
      <c r="C752" s="301"/>
      <c r="D752" s="301"/>
      <c r="E752" s="302"/>
      <c r="F752" s="303">
        <v>4</v>
      </c>
      <c r="G752" s="304"/>
      <c r="H752" s="285"/>
      <c r="I752" s="287"/>
      <c r="J752" s="288"/>
    </row>
    <row r="753" spans="1:10" ht="10.5" customHeight="1" x14ac:dyDescent="0.3">
      <c r="A753" s="27">
        <v>4</v>
      </c>
      <c r="B753" s="300" t="s">
        <v>13</v>
      </c>
      <c r="C753" s="301"/>
      <c r="D753" s="301"/>
      <c r="E753" s="302"/>
      <c r="F753" s="303">
        <v>58</v>
      </c>
      <c r="G753" s="304"/>
      <c r="H753" s="285"/>
      <c r="I753" s="287"/>
      <c r="J753" s="288"/>
    </row>
    <row r="754" spans="1:10" ht="10.5" customHeight="1" x14ac:dyDescent="0.3">
      <c r="A754" s="27">
        <v>5</v>
      </c>
      <c r="B754" s="300" t="s">
        <v>10</v>
      </c>
      <c r="C754" s="301"/>
      <c r="D754" s="301"/>
      <c r="E754" s="302"/>
      <c r="F754" s="303">
        <v>288.10000000000002</v>
      </c>
      <c r="G754" s="304"/>
      <c r="H754" s="285"/>
      <c r="I754" s="287"/>
      <c r="J754" s="288"/>
    </row>
    <row r="755" spans="1:10" ht="10.5" customHeight="1" x14ac:dyDescent="0.3">
      <c r="A755" s="27">
        <v>6</v>
      </c>
      <c r="B755" s="300" t="s">
        <v>11</v>
      </c>
      <c r="C755" s="301"/>
      <c r="D755" s="301"/>
      <c r="E755" s="302"/>
      <c r="F755" s="303">
        <v>2683.33</v>
      </c>
      <c r="G755" s="304"/>
      <c r="H755" s="285"/>
      <c r="I755" s="287"/>
      <c r="J755" s="288"/>
    </row>
    <row r="756" spans="1:10" ht="10.5" customHeight="1" x14ac:dyDescent="0.3">
      <c r="A756" s="28">
        <v>7</v>
      </c>
      <c r="B756" s="306" t="s">
        <v>9</v>
      </c>
      <c r="C756" s="307"/>
      <c r="D756" s="307"/>
      <c r="E756" s="308"/>
      <c r="F756" s="309">
        <v>91.2</v>
      </c>
      <c r="G756" s="310"/>
      <c r="H756" s="285"/>
      <c r="I756" s="287"/>
      <c r="J756" s="288"/>
    </row>
    <row r="757" spans="1:10" ht="10.5" customHeight="1" x14ac:dyDescent="0.3">
      <c r="A757" s="255"/>
      <c r="B757" s="251"/>
      <c r="C757" s="251"/>
      <c r="D757" s="251"/>
      <c r="E757" s="251"/>
      <c r="F757" s="257"/>
      <c r="G757" s="258"/>
      <c r="H757" s="285"/>
      <c r="I757" s="287"/>
      <c r="J757" s="288"/>
    </row>
    <row r="758" spans="1:10" ht="10.5" customHeight="1" x14ac:dyDescent="0.3">
      <c r="A758" s="315" t="s">
        <v>99</v>
      </c>
      <c r="B758" s="316"/>
      <c r="C758" s="316"/>
      <c r="D758" s="316"/>
      <c r="E758" s="316"/>
      <c r="F758" s="316"/>
      <c r="G758" s="316"/>
      <c r="H758" s="285"/>
      <c r="I758" s="287"/>
      <c r="J758" s="288"/>
    </row>
    <row r="759" spans="1:10" ht="10.5" customHeight="1" x14ac:dyDescent="0.3">
      <c r="A759" s="29"/>
      <c r="B759" s="30"/>
      <c r="C759" s="29" t="s">
        <v>19</v>
      </c>
      <c r="D759" s="29"/>
      <c r="E759" s="29"/>
      <c r="F759" s="31"/>
      <c r="G759" s="29" t="s">
        <v>19</v>
      </c>
      <c r="H759" s="285"/>
      <c r="I759" s="287"/>
      <c r="J759" s="288"/>
    </row>
    <row r="760" spans="1:10" ht="10.5" customHeight="1" x14ac:dyDescent="0.3">
      <c r="A760" s="24"/>
      <c r="B760" s="2" t="s">
        <v>1</v>
      </c>
      <c r="C760" s="24" t="s">
        <v>28</v>
      </c>
      <c r="D760" s="24" t="s">
        <v>2</v>
      </c>
      <c r="E760" s="24" t="s">
        <v>16</v>
      </c>
      <c r="F760" s="32" t="s">
        <v>27</v>
      </c>
      <c r="G760" s="24" t="s">
        <v>28</v>
      </c>
      <c r="H760" s="285"/>
      <c r="I760" s="287"/>
      <c r="J760" s="288"/>
    </row>
    <row r="761" spans="1:10" ht="10.5" customHeight="1" x14ac:dyDescent="0.3">
      <c r="A761" s="33"/>
      <c r="B761" s="129"/>
      <c r="C761" s="33" t="s">
        <v>24</v>
      </c>
      <c r="D761" s="33"/>
      <c r="E761" s="34"/>
      <c r="F761" s="35"/>
      <c r="G761" s="33" t="s">
        <v>30</v>
      </c>
      <c r="H761" s="285"/>
      <c r="I761" s="287"/>
      <c r="J761" s="288"/>
    </row>
    <row r="762" spans="1:10" ht="10.5" customHeight="1" x14ac:dyDescent="0.3">
      <c r="A762" s="37" t="s">
        <v>20</v>
      </c>
      <c r="B762" s="131" t="s">
        <v>33</v>
      </c>
      <c r="C762" s="42"/>
      <c r="D762" s="42"/>
      <c r="E762" s="38"/>
      <c r="F762" s="38"/>
      <c r="G762" s="38"/>
      <c r="H762" s="285"/>
      <c r="I762" s="287"/>
      <c r="J762" s="288"/>
    </row>
    <row r="763" spans="1:10" ht="10.5" customHeight="1" x14ac:dyDescent="0.3">
      <c r="A763" s="101"/>
      <c r="B763" s="132" t="s">
        <v>7</v>
      </c>
      <c r="C763" s="39">
        <f>18435.09</f>
        <v>18435.09</v>
      </c>
      <c r="D763" s="5">
        <v>245875.21</v>
      </c>
      <c r="E763" s="5">
        <f>C763+D763-G763</f>
        <v>234518.33</v>
      </c>
      <c r="F763" s="5"/>
      <c r="G763" s="5">
        <f>38761.05-8969.08</f>
        <v>29791.97</v>
      </c>
      <c r="H763" s="285"/>
      <c r="I763" s="287"/>
      <c r="J763" s="288"/>
    </row>
    <row r="764" spans="1:10" ht="10.5" customHeight="1" x14ac:dyDescent="0.3">
      <c r="A764" s="101"/>
      <c r="B764" s="132" t="s">
        <v>8</v>
      </c>
      <c r="C764" s="133">
        <f>D764/12</f>
        <v>593.48416666666674</v>
      </c>
      <c r="D764" s="5">
        <v>7121.81</v>
      </c>
      <c r="E764" s="5">
        <f>C764+D764-G764</f>
        <v>7074.3312666666679</v>
      </c>
      <c r="F764" s="5"/>
      <c r="G764" s="5">
        <f>D764*9%</f>
        <v>640.96289999999999</v>
      </c>
      <c r="H764" s="285"/>
      <c r="I764" s="287"/>
      <c r="J764" s="288"/>
    </row>
    <row r="765" spans="1:10" ht="10.5" customHeight="1" x14ac:dyDescent="0.3">
      <c r="A765" s="101"/>
      <c r="B765" s="132" t="s">
        <v>17</v>
      </c>
      <c r="C765" s="39">
        <f>D765/12</f>
        <v>480</v>
      </c>
      <c r="D765" s="5">
        <v>5760</v>
      </c>
      <c r="E765" s="5">
        <f>C765+D765-G765</f>
        <v>5721.6</v>
      </c>
      <c r="F765" s="5"/>
      <c r="G765" s="5">
        <f>D765*9%</f>
        <v>518.4</v>
      </c>
      <c r="H765" s="285"/>
      <c r="I765" s="287"/>
      <c r="J765" s="288"/>
    </row>
    <row r="766" spans="1:10" ht="10.5" customHeight="1" x14ac:dyDescent="0.3">
      <c r="A766" s="101"/>
      <c r="B766" s="135" t="s">
        <v>23</v>
      </c>
      <c r="C766" s="50">
        <f>SUM(C763:C765)</f>
        <v>19508.574166666665</v>
      </c>
      <c r="D766" s="50">
        <f>SUM(D763:D765)</f>
        <v>258757.02</v>
      </c>
      <c r="E766" s="50">
        <f>SUM(E763:E765)</f>
        <v>247314.26126666667</v>
      </c>
      <c r="F766" s="50">
        <f>D766+1796.71</f>
        <v>260553.72999999998</v>
      </c>
      <c r="G766" s="50">
        <f>SUM(G763:G765)</f>
        <v>30951.332900000001</v>
      </c>
      <c r="H766" s="285"/>
      <c r="I766" s="287"/>
      <c r="J766" s="288"/>
    </row>
    <row r="767" spans="1:10" ht="10.5" customHeight="1" x14ac:dyDescent="0.3">
      <c r="A767" s="101"/>
      <c r="B767" s="135"/>
      <c r="C767" s="5"/>
      <c r="D767" s="5"/>
      <c r="E767" s="5"/>
      <c r="F767" s="5"/>
      <c r="G767" s="5"/>
      <c r="H767" s="285"/>
      <c r="I767" s="287"/>
      <c r="J767" s="288"/>
    </row>
    <row r="768" spans="1:10" ht="10.5" customHeight="1" x14ac:dyDescent="0.3">
      <c r="A768" s="39">
        <v>2</v>
      </c>
      <c r="B768" s="152" t="s">
        <v>34</v>
      </c>
      <c r="C768" s="50"/>
      <c r="D768" s="50">
        <v>99012.57</v>
      </c>
      <c r="E768" s="50">
        <f>D768-G768</f>
        <v>84681.72</v>
      </c>
      <c r="F768" s="50">
        <f>D768</f>
        <v>99012.57</v>
      </c>
      <c r="G768" s="50">
        <f>8969.09+5231.91+129.85</f>
        <v>14330.85</v>
      </c>
      <c r="H768" s="285"/>
      <c r="I768" s="287"/>
      <c r="J768" s="288"/>
    </row>
    <row r="769" spans="1:10" ht="10.5" customHeight="1" x14ac:dyDescent="0.3">
      <c r="A769" s="40"/>
      <c r="B769" s="40"/>
      <c r="C769" s="40"/>
      <c r="D769" s="40"/>
      <c r="E769" s="40"/>
      <c r="F769" s="40"/>
      <c r="G769" s="40"/>
      <c r="H769" s="285"/>
      <c r="I769" s="287"/>
      <c r="J769" s="288"/>
    </row>
    <row r="770" spans="1:10" ht="10.5" customHeight="1" x14ac:dyDescent="0.3">
      <c r="A770" s="39" t="s">
        <v>22</v>
      </c>
      <c r="B770" s="137" t="s">
        <v>106</v>
      </c>
      <c r="C770" s="5">
        <v>15588.31</v>
      </c>
      <c r="D770" s="5">
        <v>208012.53</v>
      </c>
      <c r="E770" s="5">
        <f>C770+D770-G770</f>
        <v>199303.53999999998</v>
      </c>
      <c r="F770" s="147"/>
      <c r="G770" s="5">
        <f>29749.06-5321.91-129.85</f>
        <v>24297.300000000003</v>
      </c>
      <c r="H770" s="285"/>
      <c r="I770" s="287"/>
      <c r="J770" s="288"/>
    </row>
    <row r="771" spans="1:10" ht="10.5" customHeight="1" x14ac:dyDescent="0.3">
      <c r="A771" s="39"/>
      <c r="B771" s="138" t="s">
        <v>37</v>
      </c>
      <c r="C771" s="5">
        <f>D771/12</f>
        <v>695.17166666666662</v>
      </c>
      <c r="D771" s="5">
        <v>8342.06</v>
      </c>
      <c r="E771" s="5">
        <f>C771+D771-G771</f>
        <v>8286.4462666666659</v>
      </c>
      <c r="F771" s="139"/>
      <c r="G771" s="5">
        <f>D771*9%</f>
        <v>750.78539999999998</v>
      </c>
      <c r="H771" s="285"/>
      <c r="I771" s="287"/>
      <c r="J771" s="288"/>
    </row>
    <row r="772" spans="1:10" ht="10.5" customHeight="1" x14ac:dyDescent="0.3">
      <c r="A772" s="79"/>
      <c r="B772" s="140" t="s">
        <v>23</v>
      </c>
      <c r="C772" s="80">
        <f>SUM(C770:C771)</f>
        <v>16283.481666666667</v>
      </c>
      <c r="D772" s="185">
        <f>SUM(D770:D771)</f>
        <v>216354.59</v>
      </c>
      <c r="E772" s="80">
        <f>SUM(E770:E771)</f>
        <v>207589.98626666664</v>
      </c>
      <c r="F772" s="186">
        <v>286908.03999999998</v>
      </c>
      <c r="G772" s="80">
        <f>SUM(G770:G771)</f>
        <v>25048.085400000004</v>
      </c>
      <c r="H772" s="285"/>
      <c r="I772" s="287"/>
      <c r="J772" s="288"/>
    </row>
    <row r="773" spans="1:10" ht="10.5" customHeight="1" x14ac:dyDescent="0.3">
      <c r="A773" s="81"/>
      <c r="B773" s="82" t="s">
        <v>74</v>
      </c>
      <c r="C773" s="90">
        <f>C772+C768+C766</f>
        <v>35792.055833333332</v>
      </c>
      <c r="D773" s="90">
        <f>D772+D768+D766</f>
        <v>574124.18000000005</v>
      </c>
      <c r="E773" s="90">
        <f>E772+E768+E766</f>
        <v>539585.96753333334</v>
      </c>
      <c r="F773" s="90">
        <f>F772+F768+F766</f>
        <v>646474.34</v>
      </c>
      <c r="G773" s="90">
        <f>G772+G768+G766</f>
        <v>70330.268299999996</v>
      </c>
      <c r="H773" s="285"/>
      <c r="I773" s="287"/>
      <c r="J773" s="288"/>
    </row>
    <row r="774" spans="1:10" ht="10.5" customHeight="1" x14ac:dyDescent="0.3">
      <c r="A774" s="130"/>
      <c r="B774" s="36"/>
      <c r="C774" s="30"/>
      <c r="D774" s="36"/>
      <c r="E774" s="36"/>
      <c r="F774" s="36"/>
      <c r="G774" s="44"/>
      <c r="H774" s="285"/>
      <c r="I774" s="287"/>
      <c r="J774" s="288"/>
    </row>
    <row r="775" spans="1:10" ht="10.5" customHeight="1" x14ac:dyDescent="0.3">
      <c r="A775" s="318" t="s">
        <v>18</v>
      </c>
      <c r="B775" s="319"/>
      <c r="C775" s="319"/>
      <c r="D775" s="319"/>
      <c r="E775" s="319"/>
      <c r="F775" s="319"/>
      <c r="G775" s="45"/>
      <c r="H775" s="285"/>
      <c r="I775" s="287"/>
      <c r="J775" s="288"/>
    </row>
    <row r="776" spans="1:10" ht="10.5" customHeight="1" x14ac:dyDescent="0.3">
      <c r="A776" s="6"/>
      <c r="B776" s="11"/>
      <c r="C776" s="29" t="s">
        <v>19</v>
      </c>
      <c r="D776" s="29"/>
      <c r="E776" s="29"/>
      <c r="F776" s="31"/>
      <c r="G776" s="29" t="s">
        <v>19</v>
      </c>
      <c r="H776" s="285"/>
      <c r="I776" s="287"/>
      <c r="J776" s="288"/>
    </row>
    <row r="777" spans="1:10" ht="10.5" customHeight="1" x14ac:dyDescent="0.3">
      <c r="A777" s="1" t="s">
        <v>15</v>
      </c>
      <c r="B777" s="2" t="s">
        <v>1</v>
      </c>
      <c r="C777" s="24" t="s">
        <v>28</v>
      </c>
      <c r="D777" s="24" t="s">
        <v>2</v>
      </c>
      <c r="E777" s="24" t="s">
        <v>16</v>
      </c>
      <c r="F777" s="32" t="s">
        <v>27</v>
      </c>
      <c r="G777" s="24" t="s">
        <v>28</v>
      </c>
      <c r="H777" s="285"/>
      <c r="I777" s="287"/>
      <c r="J777" s="288"/>
    </row>
    <row r="778" spans="1:10" ht="10.5" customHeight="1" x14ac:dyDescent="0.3">
      <c r="A778" s="1"/>
      <c r="B778" s="2"/>
      <c r="C778" s="33" t="s">
        <v>24</v>
      </c>
      <c r="D778" s="33"/>
      <c r="E778" s="34"/>
      <c r="F778" s="35"/>
      <c r="G778" s="33" t="s">
        <v>30</v>
      </c>
      <c r="H778" s="285"/>
      <c r="I778" s="287"/>
      <c r="J778" s="288"/>
    </row>
    <row r="779" spans="1:10" ht="10.5" customHeight="1" x14ac:dyDescent="0.3">
      <c r="A779" s="47" t="s">
        <v>20</v>
      </c>
      <c r="B779" s="143" t="s">
        <v>21</v>
      </c>
      <c r="C779" s="38"/>
      <c r="D779" s="38"/>
      <c r="E779" s="38"/>
      <c r="F779" s="38"/>
      <c r="G779" s="38"/>
      <c r="H779" s="285"/>
      <c r="I779" s="287"/>
      <c r="J779" s="288"/>
    </row>
    <row r="780" spans="1:10" ht="10.5" customHeight="1" x14ac:dyDescent="0.3">
      <c r="A780" s="48"/>
      <c r="B780" s="40" t="s">
        <v>112</v>
      </c>
      <c r="C780" s="53">
        <v>32074.01</v>
      </c>
      <c r="D780" s="5">
        <v>577553.19999999995</v>
      </c>
      <c r="E780" s="56">
        <f>C780+D780-G780</f>
        <v>526835.52</v>
      </c>
      <c r="F780" s="76"/>
      <c r="G780" s="53">
        <f>82791.69</f>
        <v>82791.69</v>
      </c>
      <c r="H780" s="285"/>
      <c r="I780" s="287"/>
      <c r="J780" s="288"/>
    </row>
    <row r="781" spans="1:10" ht="10.5" customHeight="1" x14ac:dyDescent="0.3">
      <c r="A781" s="39"/>
      <c r="B781" s="138" t="s">
        <v>116</v>
      </c>
      <c r="C781" s="54">
        <f>D781/12</f>
        <v>1596.87</v>
      </c>
      <c r="D781" s="5">
        <v>19162.439999999999</v>
      </c>
      <c r="E781" s="113">
        <f>C781+D781-G781</f>
        <v>19034.690399999999</v>
      </c>
      <c r="F781" s="118"/>
      <c r="G781" s="54">
        <f>D781*9%</f>
        <v>1724.6195999999998</v>
      </c>
      <c r="H781" s="285"/>
      <c r="I781" s="287"/>
      <c r="J781" s="288"/>
    </row>
    <row r="782" spans="1:10" ht="10.5" customHeight="1" x14ac:dyDescent="0.3">
      <c r="A782" s="39"/>
      <c r="B782" s="135" t="s">
        <v>23</v>
      </c>
      <c r="C782" s="166">
        <f>SUM(C780:C781)</f>
        <v>33670.879999999997</v>
      </c>
      <c r="D782" s="50">
        <f>SUM(D780:D781)</f>
        <v>596715.6399999999</v>
      </c>
      <c r="E782" s="166">
        <f>SUM(E780:E781)</f>
        <v>545870.21039999998</v>
      </c>
      <c r="F782" s="123"/>
      <c r="G782" s="166">
        <f>SUM(G780:G781)</f>
        <v>84516.309600000008</v>
      </c>
      <c r="H782" s="285"/>
      <c r="I782" s="287"/>
      <c r="J782" s="288"/>
    </row>
    <row r="783" spans="1:10" ht="10.5" customHeight="1" x14ac:dyDescent="0.3">
      <c r="A783" s="39"/>
      <c r="B783" s="138"/>
      <c r="C783" s="54"/>
      <c r="D783" s="5"/>
      <c r="E783" s="113"/>
      <c r="F783" s="118"/>
      <c r="G783" s="54"/>
      <c r="H783" s="285"/>
      <c r="I783" s="287"/>
      <c r="J783" s="288"/>
    </row>
    <row r="784" spans="1:10" ht="10.5" customHeight="1" x14ac:dyDescent="0.3">
      <c r="A784" s="49"/>
      <c r="B784" s="137" t="s">
        <v>113</v>
      </c>
      <c r="C784" s="71">
        <f>13967.88+2223.95+1.89</f>
        <v>16193.719999999998</v>
      </c>
      <c r="D784" s="5">
        <v>207047.01</v>
      </c>
      <c r="E784" s="71">
        <f>C784+D784-G784</f>
        <v>196844.51</v>
      </c>
      <c r="F784" s="77"/>
      <c r="G784" s="71">
        <f>23081.86+3314.36+0</f>
        <v>26396.22</v>
      </c>
      <c r="H784" s="285"/>
      <c r="I784" s="287"/>
      <c r="J784" s="288"/>
    </row>
    <row r="785" spans="1:10" ht="10.5" customHeight="1" x14ac:dyDescent="0.3">
      <c r="A785" s="49"/>
      <c r="B785" s="138" t="s">
        <v>117</v>
      </c>
      <c r="C785" s="71">
        <f>D785/12</f>
        <v>76.527500000000003</v>
      </c>
      <c r="D785" s="5">
        <v>918.33</v>
      </c>
      <c r="E785" s="71">
        <f>C785+D785-G785</f>
        <v>912.20780000000013</v>
      </c>
      <c r="F785" s="77"/>
      <c r="G785" s="72">
        <f>D785*9%</f>
        <v>82.649699999999996</v>
      </c>
      <c r="H785" s="285"/>
      <c r="I785" s="287"/>
      <c r="J785" s="288"/>
    </row>
    <row r="786" spans="1:10" ht="10.5" customHeight="1" x14ac:dyDescent="0.3">
      <c r="A786" s="49"/>
      <c r="B786" s="135" t="s">
        <v>23</v>
      </c>
      <c r="C786" s="58">
        <f>SUM(C784:C785)</f>
        <v>16270.247499999998</v>
      </c>
      <c r="D786" s="58">
        <f>SUM(D784:D785)</f>
        <v>207965.34</v>
      </c>
      <c r="E786" s="58">
        <f>SUM(E784:E785)</f>
        <v>197756.71780000001</v>
      </c>
      <c r="F786" s="193"/>
      <c r="G786" s="50">
        <f>SUM(G784:G785)</f>
        <v>26478.869700000003</v>
      </c>
      <c r="H786" s="285"/>
      <c r="I786" s="287"/>
      <c r="J786" s="288"/>
    </row>
    <row r="787" spans="1:10" ht="10.5" customHeight="1" x14ac:dyDescent="0.3">
      <c r="A787" s="49"/>
      <c r="B787" s="135"/>
      <c r="C787" s="58"/>
      <c r="D787" s="58"/>
      <c r="E787" s="58"/>
      <c r="F787" s="58"/>
      <c r="G787" s="50"/>
      <c r="H787" s="285"/>
      <c r="I787" s="287"/>
      <c r="J787" s="288"/>
    </row>
    <row r="788" spans="1:10" ht="10.5" customHeight="1" x14ac:dyDescent="0.3">
      <c r="A788" s="49"/>
      <c r="B788" s="135" t="s">
        <v>79</v>
      </c>
      <c r="C788" s="58">
        <f>C786+C782</f>
        <v>49941.127499999995</v>
      </c>
      <c r="D788" s="58">
        <f>D786+D782</f>
        <v>804680.97999999986</v>
      </c>
      <c r="E788" s="58">
        <f>E786+E782</f>
        <v>743626.92819999997</v>
      </c>
      <c r="F788" s="58">
        <f>D788</f>
        <v>804680.97999999986</v>
      </c>
      <c r="G788" s="50">
        <f>G786+G782</f>
        <v>110995.17930000002</v>
      </c>
      <c r="H788" s="285"/>
      <c r="I788" s="287"/>
      <c r="J788" s="288"/>
    </row>
    <row r="789" spans="1:10" ht="10.5" customHeight="1" x14ac:dyDescent="0.3">
      <c r="A789" s="101" t="s">
        <v>26</v>
      </c>
      <c r="B789" s="137" t="s">
        <v>29</v>
      </c>
      <c r="C789" s="5"/>
      <c r="D789" s="5"/>
      <c r="E789" s="5"/>
      <c r="F789" s="5"/>
      <c r="G789" s="5"/>
      <c r="H789" s="285"/>
      <c r="I789" s="287"/>
      <c r="J789" s="288"/>
    </row>
    <row r="790" spans="1:10" ht="10.5" customHeight="1" x14ac:dyDescent="0.3">
      <c r="A790" s="101"/>
      <c r="B790" s="40" t="s">
        <v>31</v>
      </c>
      <c r="C790" s="5">
        <f>17629.35+9816.1</f>
        <v>27445.449999999997</v>
      </c>
      <c r="D790" s="5">
        <f>220413.71+128096.49</f>
        <v>348510.2</v>
      </c>
      <c r="E790" s="5">
        <f>C790+D790-G790</f>
        <v>331997.56000000006</v>
      </c>
      <c r="F790" s="5"/>
      <c r="G790" s="5">
        <f>27910.13+16047.96</f>
        <v>43958.09</v>
      </c>
      <c r="H790" s="285"/>
      <c r="I790" s="287"/>
      <c r="J790" s="288"/>
    </row>
    <row r="791" spans="1:10" ht="10.5" customHeight="1" x14ac:dyDescent="0.3">
      <c r="A791" s="101"/>
      <c r="B791" s="40" t="s">
        <v>32</v>
      </c>
      <c r="C791" s="5">
        <f>D791/12</f>
        <v>130.89333333333335</v>
      </c>
      <c r="D791" s="14">
        <f>931.28+639.44</f>
        <v>1570.72</v>
      </c>
      <c r="E791" s="14">
        <f>C791+D791-G791</f>
        <v>1575.9557333333335</v>
      </c>
      <c r="F791" s="5"/>
      <c r="G791" s="5">
        <f>D791*8%</f>
        <v>125.6576</v>
      </c>
      <c r="H791" s="285"/>
      <c r="I791" s="287"/>
      <c r="J791" s="288"/>
    </row>
    <row r="792" spans="1:10" ht="10.5" customHeight="1" x14ac:dyDescent="0.3">
      <c r="A792" s="101"/>
      <c r="B792" s="135" t="s">
        <v>23</v>
      </c>
      <c r="C792" s="5">
        <f>SUM(C790:C791)</f>
        <v>27576.343333333331</v>
      </c>
      <c r="D792" s="5">
        <f>SUM(D790:D791)</f>
        <v>350080.92</v>
      </c>
      <c r="E792" s="5">
        <f>SUM(E790:E791)</f>
        <v>333573.51573333336</v>
      </c>
      <c r="F792" s="5">
        <f>D792</f>
        <v>350080.92</v>
      </c>
      <c r="G792" s="5">
        <f>SUM(G790:G791)</f>
        <v>44083.747599999995</v>
      </c>
      <c r="H792" s="285"/>
      <c r="I792" s="287"/>
      <c r="J792" s="288"/>
    </row>
    <row r="793" spans="1:10" ht="10.5" customHeight="1" x14ac:dyDescent="0.3">
      <c r="A793" s="101"/>
      <c r="B793" s="194"/>
      <c r="C793" s="52"/>
      <c r="D793" s="92"/>
      <c r="E793" s="52"/>
      <c r="F793" s="52"/>
      <c r="G793" s="52"/>
      <c r="H793" s="285"/>
      <c r="I793" s="287"/>
      <c r="J793" s="288"/>
    </row>
    <row r="794" spans="1:10" ht="10.5" customHeight="1" x14ac:dyDescent="0.3">
      <c r="A794" s="101" t="s">
        <v>22</v>
      </c>
      <c r="B794" s="137" t="s">
        <v>69</v>
      </c>
      <c r="C794" s="5">
        <v>35521.65</v>
      </c>
      <c r="D794" s="78">
        <v>292176.49</v>
      </c>
      <c r="E794" s="50">
        <v>287743.55</v>
      </c>
      <c r="F794" s="50">
        <v>272011.46999999997</v>
      </c>
      <c r="G794" s="50">
        <f>C794+D794-E794</f>
        <v>39954.590000000026</v>
      </c>
      <c r="H794" s="285"/>
      <c r="I794" s="287"/>
      <c r="J794" s="288"/>
    </row>
    <row r="795" spans="1:10" ht="10.5" customHeight="1" x14ac:dyDescent="0.3">
      <c r="A795" s="180"/>
      <c r="B795" s="94" t="s">
        <v>74</v>
      </c>
      <c r="C795" s="91">
        <f>C794+C792+C788</f>
        <v>113039.12083333332</v>
      </c>
      <c r="D795" s="91">
        <f>D794+D792+D788</f>
        <v>1446938.3899999997</v>
      </c>
      <c r="E795" s="91">
        <f>E794+E792+E788</f>
        <v>1364943.9939333333</v>
      </c>
      <c r="F795" s="91">
        <f>F794+F792+F788</f>
        <v>1426773.3699999996</v>
      </c>
      <c r="G795" s="91">
        <f>G794+G792+G788</f>
        <v>195033.51690000005</v>
      </c>
      <c r="H795" s="285"/>
      <c r="I795" s="287"/>
      <c r="J795" s="288"/>
    </row>
    <row r="796" spans="1:10" ht="10.5" customHeight="1" x14ac:dyDescent="0.3">
      <c r="A796" s="277"/>
      <c r="B796" s="125"/>
      <c r="C796" s="126"/>
      <c r="D796" s="126"/>
      <c r="E796" s="126"/>
      <c r="F796" s="126"/>
      <c r="G796" s="126"/>
      <c r="H796" s="285"/>
      <c r="I796" s="287"/>
      <c r="J796" s="288"/>
    </row>
    <row r="797" spans="1:10" ht="10.5" customHeight="1" x14ac:dyDescent="0.3">
      <c r="A797" s="277"/>
      <c r="B797" s="125"/>
      <c r="C797" s="126"/>
      <c r="D797" s="126"/>
      <c r="E797" s="126"/>
      <c r="F797" s="126"/>
      <c r="G797" s="126"/>
      <c r="H797" s="285"/>
      <c r="I797" s="287"/>
      <c r="J797" s="288"/>
    </row>
    <row r="798" spans="1:10" ht="10.5" customHeight="1" x14ac:dyDescent="0.3">
      <c r="A798" s="277"/>
      <c r="B798" s="125"/>
      <c r="C798" s="126"/>
      <c r="D798" s="126"/>
      <c r="E798" s="126"/>
      <c r="F798" s="126"/>
      <c r="G798" s="126"/>
      <c r="H798" s="285"/>
      <c r="I798" s="287"/>
      <c r="J798" s="288"/>
    </row>
    <row r="799" spans="1:10" ht="10.5" customHeight="1" x14ac:dyDescent="0.3">
      <c r="A799" s="277"/>
      <c r="B799" s="125"/>
      <c r="C799" s="126"/>
      <c r="D799" s="126"/>
      <c r="E799" s="126"/>
      <c r="F799" s="126"/>
      <c r="G799" s="126"/>
      <c r="H799" s="285"/>
      <c r="I799" s="287"/>
      <c r="J799" s="288"/>
    </row>
    <row r="800" spans="1:10" ht="10.5" customHeight="1" x14ac:dyDescent="0.3">
      <c r="A800" s="277"/>
      <c r="B800" s="125"/>
      <c r="C800" s="126"/>
      <c r="D800" s="126"/>
      <c r="E800" s="126"/>
      <c r="F800" s="126"/>
      <c r="G800" s="126"/>
      <c r="H800" s="285"/>
      <c r="I800" s="287"/>
      <c r="J800" s="288"/>
    </row>
    <row r="801" spans="1:10" ht="10.5" customHeight="1" x14ac:dyDescent="0.3">
      <c r="A801" s="277"/>
      <c r="B801" s="125"/>
      <c r="C801" s="126"/>
      <c r="D801" s="126"/>
      <c r="E801" s="126"/>
      <c r="F801" s="126"/>
      <c r="G801" s="126"/>
      <c r="H801" s="285"/>
      <c r="I801" s="287"/>
      <c r="J801" s="288"/>
    </row>
    <row r="802" spans="1:10" ht="11.1" customHeight="1" x14ac:dyDescent="0.3">
      <c r="A802" s="305" t="s">
        <v>6</v>
      </c>
      <c r="B802" s="305"/>
      <c r="C802" s="305"/>
      <c r="D802" s="305"/>
      <c r="E802" s="305"/>
      <c r="F802" s="305"/>
      <c r="G802" s="305"/>
      <c r="H802" s="285"/>
      <c r="I802" s="287"/>
      <c r="J802" s="288"/>
    </row>
    <row r="803" spans="1:10" ht="11.1" customHeight="1" x14ac:dyDescent="0.3">
      <c r="A803" s="305" t="s">
        <v>35</v>
      </c>
      <c r="B803" s="305"/>
      <c r="C803" s="305"/>
      <c r="D803" s="305"/>
      <c r="E803" s="305"/>
      <c r="F803" s="305"/>
      <c r="G803" s="305"/>
      <c r="H803" s="285"/>
      <c r="I803" s="287"/>
      <c r="J803" s="288"/>
    </row>
    <row r="804" spans="1:10" ht="11.1" customHeight="1" x14ac:dyDescent="0.3">
      <c r="A804" s="311" t="s">
        <v>36</v>
      </c>
      <c r="B804" s="311"/>
      <c r="C804" s="311"/>
      <c r="D804" s="311"/>
      <c r="E804" s="311"/>
      <c r="F804" s="311"/>
      <c r="G804" s="311"/>
      <c r="H804" s="285"/>
      <c r="I804" s="287"/>
      <c r="J804" s="288"/>
    </row>
    <row r="805" spans="1:10" ht="11.1" customHeight="1" x14ac:dyDescent="0.3">
      <c r="A805" s="312" t="s">
        <v>55</v>
      </c>
      <c r="B805" s="313"/>
      <c r="C805" s="313"/>
      <c r="D805" s="313"/>
      <c r="E805" s="313"/>
      <c r="F805" s="313"/>
      <c r="G805" s="314"/>
      <c r="H805" s="285"/>
      <c r="I805" s="287"/>
      <c r="J805" s="288"/>
    </row>
    <row r="806" spans="1:10" ht="11.1" customHeight="1" x14ac:dyDescent="0.3">
      <c r="A806" s="25"/>
      <c r="B806" s="292" t="s">
        <v>3</v>
      </c>
      <c r="C806" s="293"/>
      <c r="D806" s="293"/>
      <c r="E806" s="293"/>
      <c r="F806" s="293"/>
      <c r="G806" s="294"/>
      <c r="H806" s="285"/>
      <c r="I806" s="287"/>
      <c r="J806" s="288"/>
    </row>
    <row r="807" spans="1:10" ht="11.1" customHeight="1" x14ac:dyDescent="0.3">
      <c r="A807" s="26">
        <v>1</v>
      </c>
      <c r="B807" s="295" t="s">
        <v>4</v>
      </c>
      <c r="C807" s="296"/>
      <c r="D807" s="296"/>
      <c r="E807" s="297"/>
      <c r="F807" s="298">
        <v>1970</v>
      </c>
      <c r="G807" s="299"/>
      <c r="H807" s="285"/>
      <c r="I807" s="287"/>
      <c r="J807" s="288"/>
    </row>
    <row r="808" spans="1:10" ht="11.1" customHeight="1" x14ac:dyDescent="0.3">
      <c r="A808" s="27">
        <v>2</v>
      </c>
      <c r="B808" s="300" t="s">
        <v>12</v>
      </c>
      <c r="C808" s="301"/>
      <c r="D808" s="301"/>
      <c r="E808" s="302"/>
      <c r="F808" s="303">
        <v>5</v>
      </c>
      <c r="G808" s="304"/>
      <c r="H808" s="285"/>
      <c r="I808" s="287"/>
      <c r="J808" s="288"/>
    </row>
    <row r="809" spans="1:10" ht="11.1" customHeight="1" x14ac:dyDescent="0.3">
      <c r="A809" s="27">
        <v>3</v>
      </c>
      <c r="B809" s="300" t="s">
        <v>14</v>
      </c>
      <c r="C809" s="301"/>
      <c r="D809" s="301"/>
      <c r="E809" s="302"/>
      <c r="F809" s="303">
        <v>8</v>
      </c>
      <c r="G809" s="304"/>
      <c r="H809" s="285"/>
      <c r="I809" s="287"/>
      <c r="J809" s="288"/>
    </row>
    <row r="810" spans="1:10" ht="11.1" customHeight="1" x14ac:dyDescent="0.3">
      <c r="A810" s="27">
        <v>4</v>
      </c>
      <c r="B810" s="300" t="s">
        <v>13</v>
      </c>
      <c r="C810" s="301"/>
      <c r="D810" s="301"/>
      <c r="E810" s="302"/>
      <c r="F810" s="303">
        <v>128</v>
      </c>
      <c r="G810" s="304"/>
      <c r="H810" s="285"/>
      <c r="I810" s="287"/>
      <c r="J810" s="288"/>
    </row>
    <row r="811" spans="1:10" ht="11.1" customHeight="1" x14ac:dyDescent="0.3">
      <c r="A811" s="27">
        <v>5</v>
      </c>
      <c r="B811" s="300" t="s">
        <v>10</v>
      </c>
      <c r="C811" s="301"/>
      <c r="D811" s="301"/>
      <c r="E811" s="302"/>
      <c r="F811" s="303">
        <v>529.70000000000005</v>
      </c>
      <c r="G811" s="304"/>
      <c r="H811" s="285"/>
      <c r="I811" s="287"/>
      <c r="J811" s="288"/>
    </row>
    <row r="812" spans="1:10" ht="11.1" customHeight="1" x14ac:dyDescent="0.3">
      <c r="A812" s="27">
        <v>6</v>
      </c>
      <c r="B812" s="300" t="s">
        <v>11</v>
      </c>
      <c r="C812" s="301"/>
      <c r="D812" s="301"/>
      <c r="E812" s="302"/>
      <c r="F812" s="303">
        <v>6039.7</v>
      </c>
      <c r="G812" s="304"/>
      <c r="H812" s="285"/>
      <c r="I812" s="287"/>
      <c r="J812" s="288"/>
    </row>
    <row r="813" spans="1:10" ht="11.1" customHeight="1" x14ac:dyDescent="0.3">
      <c r="A813" s="28">
        <v>7</v>
      </c>
      <c r="B813" s="306" t="s">
        <v>9</v>
      </c>
      <c r="C813" s="307"/>
      <c r="D813" s="307"/>
      <c r="E813" s="308"/>
      <c r="F813" s="354">
        <v>51</v>
      </c>
      <c r="G813" s="355"/>
      <c r="H813" s="285"/>
      <c r="I813" s="287"/>
      <c r="J813" s="288"/>
    </row>
    <row r="814" spans="1:10" ht="11.1" customHeight="1" x14ac:dyDescent="0.3">
      <c r="A814" s="255"/>
      <c r="B814" s="251"/>
      <c r="C814" s="251"/>
      <c r="D814" s="251"/>
      <c r="E814" s="251"/>
      <c r="F814" s="261"/>
      <c r="G814" s="252"/>
      <c r="H814" s="285"/>
      <c r="I814" s="287"/>
      <c r="J814" s="288"/>
    </row>
    <row r="815" spans="1:10" ht="11.1" customHeight="1" x14ac:dyDescent="0.3">
      <c r="A815" s="315" t="s">
        <v>99</v>
      </c>
      <c r="B815" s="316"/>
      <c r="C815" s="316"/>
      <c r="D815" s="316"/>
      <c r="E815" s="316"/>
      <c r="F815" s="316"/>
      <c r="G815" s="317"/>
      <c r="H815" s="285"/>
      <c r="I815" s="287"/>
      <c r="J815" s="288"/>
    </row>
    <row r="816" spans="1:10" ht="11.1" customHeight="1" x14ac:dyDescent="0.3">
      <c r="A816" s="29"/>
      <c r="B816" s="30"/>
      <c r="C816" s="29" t="s">
        <v>19</v>
      </c>
      <c r="D816" s="29"/>
      <c r="E816" s="29"/>
      <c r="F816" s="31"/>
      <c r="G816" s="29" t="s">
        <v>19</v>
      </c>
      <c r="H816" s="285"/>
      <c r="I816" s="287"/>
      <c r="J816" s="288"/>
    </row>
    <row r="817" spans="1:10" ht="11.1" customHeight="1" x14ac:dyDescent="0.3">
      <c r="A817" s="24"/>
      <c r="B817" s="2" t="s">
        <v>1</v>
      </c>
      <c r="C817" s="24" t="s">
        <v>28</v>
      </c>
      <c r="D817" s="24" t="s">
        <v>2</v>
      </c>
      <c r="E817" s="24" t="s">
        <v>16</v>
      </c>
      <c r="F817" s="32" t="s">
        <v>27</v>
      </c>
      <c r="G817" s="24" t="s">
        <v>28</v>
      </c>
      <c r="H817" s="285"/>
      <c r="I817" s="287"/>
      <c r="J817" s="288"/>
    </row>
    <row r="818" spans="1:10" ht="11.1" customHeight="1" x14ac:dyDescent="0.3">
      <c r="A818" s="33"/>
      <c r="B818" s="129"/>
      <c r="C818" s="33" t="s">
        <v>24</v>
      </c>
      <c r="D818" s="33"/>
      <c r="E818" s="34"/>
      <c r="F818" s="35"/>
      <c r="G818" s="33" t="s">
        <v>30</v>
      </c>
      <c r="H818" s="285"/>
      <c r="I818" s="287"/>
      <c r="J818" s="288"/>
    </row>
    <row r="819" spans="1:10" ht="11.1" customHeight="1" x14ac:dyDescent="0.3">
      <c r="A819" s="37" t="s">
        <v>20</v>
      </c>
      <c r="B819" s="131" t="s">
        <v>33</v>
      </c>
      <c r="C819" s="42"/>
      <c r="D819" s="42"/>
      <c r="E819" s="38"/>
      <c r="F819" s="38"/>
      <c r="G819" s="38"/>
      <c r="H819" s="285"/>
      <c r="I819" s="287"/>
      <c r="J819" s="288"/>
    </row>
    <row r="820" spans="1:10" ht="11.1" customHeight="1" x14ac:dyDescent="0.3">
      <c r="A820" s="101"/>
      <c r="B820" s="132" t="s">
        <v>7</v>
      </c>
      <c r="C820" s="39">
        <f>197301.26</f>
        <v>197301.26</v>
      </c>
      <c r="D820" s="5">
        <v>548519.09</v>
      </c>
      <c r="E820" s="5">
        <f>C820+D820-G820</f>
        <v>554138.98</v>
      </c>
      <c r="F820" s="5"/>
      <c r="G820" s="5">
        <f>215803.6-24122.23</f>
        <v>191681.37</v>
      </c>
      <c r="H820" s="285"/>
      <c r="I820" s="287"/>
      <c r="J820" s="288"/>
    </row>
    <row r="821" spans="1:10" ht="11.1" customHeight="1" x14ac:dyDescent="0.3">
      <c r="A821" s="101"/>
      <c r="B821" s="132" t="s">
        <v>8</v>
      </c>
      <c r="C821" s="39">
        <f>D821/12</f>
        <v>331.88249999999999</v>
      </c>
      <c r="D821" s="5">
        <v>3982.59</v>
      </c>
      <c r="E821" s="5">
        <f>C821+D821-G821</f>
        <v>3995.8652999999999</v>
      </c>
      <c r="F821" s="5"/>
      <c r="G821" s="5">
        <f>D821*8%</f>
        <v>318.60720000000003</v>
      </c>
      <c r="H821" s="285"/>
      <c r="I821" s="287"/>
      <c r="J821" s="288"/>
    </row>
    <row r="822" spans="1:10" ht="11.1" customHeight="1" x14ac:dyDescent="0.3">
      <c r="A822" s="101"/>
      <c r="B822" s="132" t="s">
        <v>17</v>
      </c>
      <c r="C822" s="39">
        <f>D822/12</f>
        <v>760</v>
      </c>
      <c r="D822" s="5">
        <v>9120</v>
      </c>
      <c r="E822" s="5">
        <f>C822+D822-G822</f>
        <v>9059.2000000000007</v>
      </c>
      <c r="F822" s="5"/>
      <c r="G822" s="5">
        <f>D822*9%</f>
        <v>820.8</v>
      </c>
      <c r="H822" s="285"/>
      <c r="I822" s="287"/>
      <c r="J822" s="288"/>
    </row>
    <row r="823" spans="1:10" ht="11.1" customHeight="1" x14ac:dyDescent="0.3">
      <c r="A823" s="101"/>
      <c r="B823" s="135" t="s">
        <v>23</v>
      </c>
      <c r="C823" s="50">
        <f>SUM(C820:C822)</f>
        <v>198393.14250000002</v>
      </c>
      <c r="D823" s="50">
        <f>SUM(D820:D822)</f>
        <v>561621.67999999993</v>
      </c>
      <c r="E823" s="50">
        <f>SUM(E820:E822)</f>
        <v>567194.04529999988</v>
      </c>
      <c r="F823" s="50">
        <f>D823+5524.21</f>
        <v>567145.8899999999</v>
      </c>
      <c r="G823" s="50">
        <f>SUM(G820:G822)</f>
        <v>192820.77719999998</v>
      </c>
      <c r="H823" s="285"/>
      <c r="I823" s="287"/>
      <c r="J823" s="288"/>
    </row>
    <row r="824" spans="1:10" ht="11.1" customHeight="1" x14ac:dyDescent="0.3">
      <c r="A824" s="101"/>
      <c r="B824" s="135"/>
      <c r="C824" s="39"/>
      <c r="D824" s="5"/>
      <c r="E824" s="5"/>
      <c r="F824" s="5"/>
      <c r="G824" s="5"/>
      <c r="H824" s="285"/>
      <c r="I824" s="287"/>
      <c r="J824" s="288"/>
    </row>
    <row r="825" spans="1:10" ht="11.1" customHeight="1" x14ac:dyDescent="0.3">
      <c r="A825" s="39">
        <v>2</v>
      </c>
      <c r="B825" s="152" t="s">
        <v>34</v>
      </c>
      <c r="C825" s="5">
        <v>0</v>
      </c>
      <c r="D825" s="50">
        <v>222859.04</v>
      </c>
      <c r="E825" s="50">
        <f>D825-G825</f>
        <v>184074.46000000002</v>
      </c>
      <c r="F825" s="50">
        <f>D825</f>
        <v>222859.04</v>
      </c>
      <c r="G825" s="50">
        <f>24122.23+14064.97+597.38</f>
        <v>38784.579999999994</v>
      </c>
      <c r="H825" s="285"/>
      <c r="I825" s="287"/>
      <c r="J825" s="288"/>
    </row>
    <row r="826" spans="1:10" ht="11.1" customHeight="1" x14ac:dyDescent="0.3">
      <c r="A826" s="40"/>
      <c r="B826" s="40"/>
      <c r="C826" s="40"/>
      <c r="D826" s="40"/>
      <c r="E826" s="40"/>
      <c r="F826" s="40"/>
      <c r="G826" s="40"/>
      <c r="H826" s="285"/>
      <c r="I826" s="287"/>
      <c r="J826" s="288"/>
    </row>
    <row r="827" spans="1:10" ht="11.1" customHeight="1" x14ac:dyDescent="0.3">
      <c r="A827" s="39" t="s">
        <v>22</v>
      </c>
      <c r="B827" s="137" t="s">
        <v>106</v>
      </c>
      <c r="C827" s="5">
        <v>160817.12</v>
      </c>
      <c r="D827" s="5">
        <v>468190.63</v>
      </c>
      <c r="E827" s="5">
        <f>C827+D827-G827</f>
        <v>471510.57</v>
      </c>
      <c r="F827" s="147"/>
      <c r="G827" s="5">
        <f>172159.53-14064.97-597.38</f>
        <v>157497.18</v>
      </c>
      <c r="H827" s="285"/>
      <c r="I827" s="287"/>
      <c r="J827" s="288"/>
    </row>
    <row r="828" spans="1:10" ht="11.1" customHeight="1" x14ac:dyDescent="0.3">
      <c r="A828" s="39"/>
      <c r="B828" s="138" t="s">
        <v>37</v>
      </c>
      <c r="C828" s="5">
        <f>D828/12</f>
        <v>388.7475</v>
      </c>
      <c r="D828" s="5">
        <v>4664.97</v>
      </c>
      <c r="E828" s="5">
        <f>C828+D828-G828</f>
        <v>4680.5199000000002</v>
      </c>
      <c r="F828" s="139"/>
      <c r="G828" s="5">
        <f>D828*8%</f>
        <v>373.19760000000002</v>
      </c>
      <c r="H828" s="285"/>
      <c r="I828" s="287"/>
      <c r="J828" s="288"/>
    </row>
    <row r="829" spans="1:10" ht="11.1" customHeight="1" x14ac:dyDescent="0.3">
      <c r="A829" s="79"/>
      <c r="B829" s="140" t="s">
        <v>23</v>
      </c>
      <c r="C829" s="80">
        <f>SUM(C827:C828)</f>
        <v>161205.86749999999</v>
      </c>
      <c r="D829" s="185">
        <f>SUM(D827:D828)</f>
        <v>472855.6</v>
      </c>
      <c r="E829" s="80">
        <f>SUM(E827:E828)</f>
        <v>476191.08990000002</v>
      </c>
      <c r="F829" s="186">
        <v>242260.49</v>
      </c>
      <c r="G829" s="80">
        <f>SUM(G827:G828)</f>
        <v>157870.37760000001</v>
      </c>
      <c r="H829" s="285"/>
      <c r="I829" s="287"/>
      <c r="J829" s="288"/>
    </row>
    <row r="830" spans="1:10" ht="11.1" customHeight="1" x14ac:dyDescent="0.3">
      <c r="A830" s="16"/>
      <c r="B830" s="235"/>
      <c r="C830" s="7"/>
      <c r="D830" s="22"/>
      <c r="E830" s="7"/>
      <c r="F830" s="23"/>
      <c r="G830" s="7"/>
      <c r="H830" s="285"/>
      <c r="I830" s="287"/>
      <c r="J830" s="288"/>
    </row>
    <row r="831" spans="1:10" ht="11.1" customHeight="1" x14ac:dyDescent="0.3">
      <c r="A831" s="81"/>
      <c r="B831" s="82" t="s">
        <v>74</v>
      </c>
      <c r="C831" s="90">
        <f>C829+C825+C823</f>
        <v>359599.01</v>
      </c>
      <c r="D831" s="90">
        <f>D829+D825+D823</f>
        <v>1257336.3199999998</v>
      </c>
      <c r="E831" s="90">
        <f>E829+E825+E823</f>
        <v>1227459.5951999999</v>
      </c>
      <c r="F831" s="90">
        <f>F829+F825+F823</f>
        <v>1032265.4199999999</v>
      </c>
      <c r="G831" s="90">
        <f>G829+G825+G823</f>
        <v>389475.73479999998</v>
      </c>
      <c r="H831" s="285"/>
      <c r="I831" s="287"/>
      <c r="J831" s="288"/>
    </row>
    <row r="832" spans="1:10" ht="11.1" customHeight="1" x14ac:dyDescent="0.3">
      <c r="A832" s="130"/>
      <c r="B832" s="36"/>
      <c r="C832" s="30"/>
      <c r="D832" s="36"/>
      <c r="E832" s="36"/>
      <c r="F832" s="36"/>
      <c r="G832" s="44"/>
      <c r="H832" s="285"/>
      <c r="I832" s="287"/>
      <c r="J832" s="288"/>
    </row>
    <row r="833" spans="1:10" ht="11.1" customHeight="1" x14ac:dyDescent="0.3">
      <c r="A833" s="318" t="s">
        <v>18</v>
      </c>
      <c r="B833" s="319"/>
      <c r="C833" s="319"/>
      <c r="D833" s="319"/>
      <c r="E833" s="319"/>
      <c r="F833" s="319"/>
      <c r="G833" s="45"/>
      <c r="H833" s="285"/>
      <c r="I833" s="287"/>
      <c r="J833" s="288"/>
    </row>
    <row r="834" spans="1:10" ht="11.1" customHeight="1" x14ac:dyDescent="0.3">
      <c r="A834" s="1"/>
      <c r="B834" s="2"/>
      <c r="C834" s="29" t="s">
        <v>19</v>
      </c>
      <c r="D834" s="29"/>
      <c r="E834" s="29"/>
      <c r="F834" s="31"/>
      <c r="G834" s="29" t="s">
        <v>19</v>
      </c>
      <c r="H834" s="285"/>
      <c r="I834" s="287"/>
      <c r="J834" s="288"/>
    </row>
    <row r="835" spans="1:10" ht="11.1" customHeight="1" x14ac:dyDescent="0.3">
      <c r="A835" s="1" t="s">
        <v>15</v>
      </c>
      <c r="B835" s="2" t="s">
        <v>1</v>
      </c>
      <c r="C835" s="24" t="s">
        <v>28</v>
      </c>
      <c r="D835" s="24" t="s">
        <v>2</v>
      </c>
      <c r="E835" s="24" t="s">
        <v>16</v>
      </c>
      <c r="F835" s="32" t="s">
        <v>27</v>
      </c>
      <c r="G835" s="24" t="s">
        <v>28</v>
      </c>
      <c r="H835" s="285"/>
      <c r="I835" s="287"/>
      <c r="J835" s="288"/>
    </row>
    <row r="836" spans="1:10" ht="11.1" customHeight="1" x14ac:dyDescent="0.3">
      <c r="A836" s="1"/>
      <c r="B836" s="2"/>
      <c r="C836" s="33" t="s">
        <v>24</v>
      </c>
      <c r="D836" s="33"/>
      <c r="E836" s="34"/>
      <c r="F836" s="35"/>
      <c r="G836" s="33" t="s">
        <v>30</v>
      </c>
      <c r="H836" s="285"/>
      <c r="I836" s="287"/>
      <c r="J836" s="288"/>
    </row>
    <row r="837" spans="1:10" ht="11.1" customHeight="1" x14ac:dyDescent="0.3">
      <c r="A837" s="47" t="s">
        <v>20</v>
      </c>
      <c r="B837" s="143" t="s">
        <v>21</v>
      </c>
      <c r="C837" s="38"/>
      <c r="D837" s="38"/>
      <c r="E837" s="38"/>
      <c r="F837" s="38"/>
      <c r="G837" s="38"/>
      <c r="H837" s="285"/>
      <c r="I837" s="287"/>
      <c r="J837" s="288"/>
    </row>
    <row r="838" spans="1:10" ht="11.1" customHeight="1" x14ac:dyDescent="0.3">
      <c r="A838" s="48"/>
      <c r="B838" s="40" t="s">
        <v>109</v>
      </c>
      <c r="C838" s="57">
        <v>330071.49</v>
      </c>
      <c r="D838" s="5">
        <v>1342628.66</v>
      </c>
      <c r="E838" s="71">
        <f>C838+D838-G838</f>
        <v>1254573.9099999999</v>
      </c>
      <c r="F838" s="5"/>
      <c r="G838" s="57">
        <f>418126.24</f>
        <v>418126.24</v>
      </c>
      <c r="H838" s="285"/>
      <c r="I838" s="287"/>
      <c r="J838" s="288"/>
    </row>
    <row r="839" spans="1:10" ht="11.1" customHeight="1" x14ac:dyDescent="0.3">
      <c r="A839" s="39"/>
      <c r="B839" s="138" t="s">
        <v>116</v>
      </c>
      <c r="C839" s="57">
        <f>D839/12</f>
        <v>941.12583333333339</v>
      </c>
      <c r="D839" s="5">
        <v>11293.51</v>
      </c>
      <c r="E839" s="71">
        <f>C839+D839-G839</f>
        <v>11331.155033333334</v>
      </c>
      <c r="F839" s="5"/>
      <c r="G839" s="57">
        <f>D839*8%</f>
        <v>903.48080000000004</v>
      </c>
      <c r="H839" s="285"/>
      <c r="I839" s="287"/>
      <c r="J839" s="288"/>
    </row>
    <row r="840" spans="1:10" ht="11.1" customHeight="1" x14ac:dyDescent="0.3">
      <c r="A840" s="49"/>
      <c r="B840" s="135" t="s">
        <v>23</v>
      </c>
      <c r="C840" s="50">
        <f>SUM(C838:C839)</f>
        <v>331012.61583333334</v>
      </c>
      <c r="D840" s="50">
        <f>SUM(D838:D839)</f>
        <v>1353922.17</v>
      </c>
      <c r="E840" s="50">
        <f>SUM(E838:E839)</f>
        <v>1265905.0650333331</v>
      </c>
      <c r="F840" s="50">
        <v>1353920.91</v>
      </c>
      <c r="G840" s="50">
        <f>SUM(G838:G839)</f>
        <v>419029.72080000001</v>
      </c>
      <c r="H840" s="285"/>
      <c r="I840" s="287"/>
      <c r="J840" s="288"/>
    </row>
    <row r="841" spans="1:10" ht="11.1" customHeight="1" x14ac:dyDescent="0.3">
      <c r="A841" s="49"/>
      <c r="B841" s="138"/>
      <c r="C841" s="5"/>
      <c r="D841" s="14"/>
      <c r="E841" s="5"/>
      <c r="F841" s="14"/>
      <c r="G841" s="5"/>
      <c r="H841" s="285"/>
      <c r="I841" s="287"/>
      <c r="J841" s="288"/>
    </row>
    <row r="842" spans="1:10" ht="11.1" customHeight="1" x14ac:dyDescent="0.3">
      <c r="A842" s="101" t="s">
        <v>26</v>
      </c>
      <c r="B842" s="137" t="s">
        <v>29</v>
      </c>
      <c r="C842" s="5"/>
      <c r="D842" s="5"/>
      <c r="E842" s="5"/>
      <c r="F842" s="5"/>
      <c r="G842" s="5"/>
      <c r="H842" s="285"/>
      <c r="I842" s="287"/>
      <c r="J842" s="288"/>
    </row>
    <row r="843" spans="1:10" ht="11.1" customHeight="1" x14ac:dyDescent="0.3">
      <c r="A843" s="101"/>
      <c r="B843" s="40" t="s">
        <v>31</v>
      </c>
      <c r="C843" s="43">
        <f>214030.46+129425.12</f>
        <v>343455.57999999996</v>
      </c>
      <c r="D843" s="5">
        <f>592321.44+356362.74</f>
        <v>948684.17999999993</v>
      </c>
      <c r="E843" s="5">
        <f>C843+D843-G843</f>
        <v>861867.79999999981</v>
      </c>
      <c r="F843" s="5"/>
      <c r="G843" s="5">
        <f>269410.79+160861.17</f>
        <v>430271.95999999996</v>
      </c>
      <c r="H843" s="285"/>
      <c r="I843" s="287"/>
      <c r="J843" s="288"/>
    </row>
    <row r="844" spans="1:10" ht="11.1" customHeight="1" x14ac:dyDescent="0.3">
      <c r="A844" s="39"/>
      <c r="B844" s="40" t="s">
        <v>32</v>
      </c>
      <c r="C844" s="43">
        <f>D844/12</f>
        <v>538.65250000000003</v>
      </c>
      <c r="D844" s="5">
        <f>3832.4+2631.43</f>
        <v>6463.83</v>
      </c>
      <c r="E844" s="5">
        <f>C844+D844-G844</f>
        <v>6485.3761000000004</v>
      </c>
      <c r="F844" s="5"/>
      <c r="G844" s="5">
        <f>D844*8%</f>
        <v>517.10640000000001</v>
      </c>
      <c r="H844" s="285"/>
      <c r="I844" s="287"/>
      <c r="J844" s="288"/>
    </row>
    <row r="845" spans="1:10" ht="11.1" customHeight="1" x14ac:dyDescent="0.3">
      <c r="A845" s="39"/>
      <c r="B845" s="135" t="s">
        <v>23</v>
      </c>
      <c r="C845" s="58">
        <f>SUM(C843:C844)</f>
        <v>343994.23249999998</v>
      </c>
      <c r="D845" s="50">
        <f>SUM(D843:D844)</f>
        <v>955148.00999999989</v>
      </c>
      <c r="E845" s="50">
        <f>SUM(E843:E844)</f>
        <v>868353.17609999981</v>
      </c>
      <c r="F845" s="50">
        <f>D845</f>
        <v>955148.00999999989</v>
      </c>
      <c r="G845" s="50">
        <f>SUM(G843:G844)</f>
        <v>430789.06639999995</v>
      </c>
      <c r="H845" s="285"/>
      <c r="I845" s="287"/>
      <c r="J845" s="288"/>
    </row>
    <row r="846" spans="1:10" ht="11.1" customHeight="1" x14ac:dyDescent="0.3">
      <c r="A846" s="101"/>
      <c r="B846" s="145"/>
      <c r="C846" s="5"/>
      <c r="D846" s="13"/>
      <c r="E846" s="5"/>
      <c r="F846" s="5"/>
      <c r="G846" s="5"/>
      <c r="H846" s="285"/>
      <c r="I846" s="287"/>
      <c r="J846" s="288"/>
    </row>
    <row r="847" spans="1:10" ht="11.1" customHeight="1" x14ac:dyDescent="0.3">
      <c r="A847" s="101">
        <v>3</v>
      </c>
      <c r="B847" s="145" t="s">
        <v>126</v>
      </c>
      <c r="C847" s="5">
        <v>8756.2000000000007</v>
      </c>
      <c r="D847" s="13">
        <v>47939.13</v>
      </c>
      <c r="E847" s="5">
        <f>C847+D847-G847</f>
        <v>45341.78</v>
      </c>
      <c r="F847" s="5"/>
      <c r="G847" s="5">
        <v>11353.55</v>
      </c>
      <c r="H847" s="285"/>
      <c r="I847" s="287"/>
      <c r="J847" s="288"/>
    </row>
    <row r="848" spans="1:10" ht="11.1" customHeight="1" x14ac:dyDescent="0.3">
      <c r="A848" s="100"/>
      <c r="B848" s="194" t="s">
        <v>117</v>
      </c>
      <c r="C848" s="52">
        <v>33.066000000000003</v>
      </c>
      <c r="D848" s="92">
        <v>404.82</v>
      </c>
      <c r="E848" s="52">
        <f>C848+D848-G848</f>
        <v>403.48199999999997</v>
      </c>
      <c r="F848" s="52"/>
      <c r="G848" s="52">
        <v>34.404000000000003</v>
      </c>
      <c r="H848" s="285"/>
      <c r="I848" s="287"/>
      <c r="J848" s="288"/>
    </row>
    <row r="849" spans="1:10" ht="11.1" customHeight="1" x14ac:dyDescent="0.3">
      <c r="A849" s="100"/>
      <c r="B849" s="135" t="s">
        <v>23</v>
      </c>
      <c r="C849" s="80">
        <f>SUM(C847:C848)</f>
        <v>8789.2660000000014</v>
      </c>
      <c r="D849" s="80">
        <f t="shared" ref="D849:G849" si="12">SUM(D847:D848)</f>
        <v>48343.95</v>
      </c>
      <c r="E849" s="80">
        <f t="shared" si="12"/>
        <v>45745.262000000002</v>
      </c>
      <c r="F849" s="80">
        <f>D849</f>
        <v>48343.95</v>
      </c>
      <c r="G849" s="80">
        <f t="shared" si="12"/>
        <v>11387.954</v>
      </c>
      <c r="H849" s="285"/>
      <c r="I849" s="287"/>
      <c r="J849" s="288"/>
    </row>
    <row r="850" spans="1:10" ht="11.1" customHeight="1" x14ac:dyDescent="0.3">
      <c r="A850" s="41"/>
      <c r="B850" s="146"/>
      <c r="C850" s="10"/>
      <c r="D850" s="15"/>
      <c r="E850" s="10"/>
      <c r="F850" s="10"/>
      <c r="G850" s="10"/>
      <c r="H850" s="285"/>
      <c r="I850" s="287"/>
      <c r="J850" s="288"/>
    </row>
    <row r="851" spans="1:10" ht="11.1" customHeight="1" x14ac:dyDescent="0.3">
      <c r="A851" s="180"/>
      <c r="B851" s="94" t="s">
        <v>80</v>
      </c>
      <c r="C851" s="91">
        <f>C849+C845+C840</f>
        <v>683796.11433333333</v>
      </c>
      <c r="D851" s="91">
        <f t="shared" ref="D851:G851" si="13">D849+D845+D840</f>
        <v>2357414.13</v>
      </c>
      <c r="E851" s="91">
        <f t="shared" si="13"/>
        <v>2180003.5031333328</v>
      </c>
      <c r="F851" s="91">
        <f t="shared" si="13"/>
        <v>2357412.8699999996</v>
      </c>
      <c r="G851" s="91">
        <f t="shared" si="13"/>
        <v>861206.74120000005</v>
      </c>
      <c r="H851" s="285"/>
      <c r="I851" s="287"/>
      <c r="J851" s="288"/>
    </row>
    <row r="852" spans="1:10" ht="11.1" customHeight="1" x14ac:dyDescent="0.3">
      <c r="A852" s="148"/>
      <c r="B852" s="148"/>
      <c r="C852" s="148"/>
      <c r="D852" s="148"/>
      <c r="E852" s="148"/>
      <c r="F852" s="148"/>
      <c r="G852" s="148"/>
      <c r="H852" s="285"/>
      <c r="I852" s="287"/>
      <c r="J852" s="288"/>
    </row>
    <row r="853" spans="1:10" ht="11.1" customHeight="1" x14ac:dyDescent="0.3">
      <c r="A853" s="148"/>
      <c r="B853" s="148"/>
      <c r="C853" s="148"/>
      <c r="D853" s="148"/>
      <c r="E853" s="148"/>
      <c r="F853" s="148"/>
      <c r="G853" s="148"/>
      <c r="H853" s="285"/>
      <c r="I853" s="287"/>
      <c r="J853" s="288"/>
    </row>
    <row r="854" spans="1:10" ht="11.1" customHeight="1" x14ac:dyDescent="0.3">
      <c r="A854" s="148"/>
      <c r="B854" s="148"/>
      <c r="C854" s="148"/>
      <c r="D854" s="148"/>
      <c r="E854" s="148"/>
      <c r="F854" s="148"/>
      <c r="G854" s="148"/>
      <c r="H854" s="285"/>
      <c r="I854" s="287"/>
      <c r="J854" s="288"/>
    </row>
    <row r="855" spans="1:10" ht="11.1" customHeight="1" x14ac:dyDescent="0.3">
      <c r="A855" s="305" t="s">
        <v>6</v>
      </c>
      <c r="B855" s="305"/>
      <c r="C855" s="305"/>
      <c r="D855" s="305"/>
      <c r="E855" s="305"/>
      <c r="F855" s="305"/>
      <c r="G855" s="305"/>
      <c r="H855" s="285"/>
      <c r="I855" s="287"/>
      <c r="J855" s="288"/>
    </row>
    <row r="856" spans="1:10" ht="11.1" customHeight="1" x14ac:dyDescent="0.3">
      <c r="A856" s="305" t="s">
        <v>35</v>
      </c>
      <c r="B856" s="305"/>
      <c r="C856" s="305"/>
      <c r="D856" s="305"/>
      <c r="E856" s="305"/>
      <c r="F856" s="305"/>
      <c r="G856" s="305"/>
      <c r="H856" s="285"/>
      <c r="I856" s="287"/>
      <c r="J856" s="288"/>
    </row>
    <row r="857" spans="1:10" ht="11.1" customHeight="1" x14ac:dyDescent="0.3">
      <c r="A857" s="311" t="s">
        <v>36</v>
      </c>
      <c r="B857" s="311"/>
      <c r="C857" s="311"/>
      <c r="D857" s="311"/>
      <c r="E857" s="311"/>
      <c r="F857" s="311"/>
      <c r="G857" s="311"/>
      <c r="H857" s="285"/>
      <c r="I857" s="287"/>
      <c r="J857" s="288"/>
    </row>
    <row r="858" spans="1:10" ht="11.1" customHeight="1" x14ac:dyDescent="0.3">
      <c r="A858" s="312" t="s">
        <v>56</v>
      </c>
      <c r="B858" s="313"/>
      <c r="C858" s="313"/>
      <c r="D858" s="313"/>
      <c r="E858" s="313"/>
      <c r="F858" s="313"/>
      <c r="G858" s="314"/>
      <c r="H858" s="285"/>
      <c r="I858" s="287"/>
      <c r="J858" s="288"/>
    </row>
    <row r="859" spans="1:10" ht="10.5" customHeight="1" x14ac:dyDescent="0.3">
      <c r="A859" s="25"/>
      <c r="B859" s="292" t="s">
        <v>3</v>
      </c>
      <c r="C859" s="293"/>
      <c r="D859" s="293"/>
      <c r="E859" s="293"/>
      <c r="F859" s="293"/>
      <c r="G859" s="294"/>
      <c r="H859" s="285"/>
      <c r="I859" s="287"/>
      <c r="J859" s="288"/>
    </row>
    <row r="860" spans="1:10" ht="10.5" customHeight="1" x14ac:dyDescent="0.3">
      <c r="A860" s="26">
        <v>1</v>
      </c>
      <c r="B860" s="295" t="s">
        <v>4</v>
      </c>
      <c r="C860" s="296"/>
      <c r="D860" s="296"/>
      <c r="E860" s="297"/>
      <c r="F860" s="298">
        <v>1983</v>
      </c>
      <c r="G860" s="299"/>
      <c r="H860" s="285"/>
      <c r="I860" s="287"/>
      <c r="J860" s="288"/>
    </row>
    <row r="861" spans="1:10" ht="10.5" customHeight="1" x14ac:dyDescent="0.3">
      <c r="A861" s="27">
        <v>2</v>
      </c>
      <c r="B861" s="300" t="s">
        <v>12</v>
      </c>
      <c r="C861" s="301"/>
      <c r="D861" s="301"/>
      <c r="E861" s="302"/>
      <c r="F861" s="303">
        <v>5</v>
      </c>
      <c r="G861" s="304"/>
      <c r="H861" s="285"/>
      <c r="I861" s="287"/>
      <c r="J861" s="288"/>
    </row>
    <row r="862" spans="1:10" ht="10.5" customHeight="1" x14ac:dyDescent="0.3">
      <c r="A862" s="27">
        <v>3</v>
      </c>
      <c r="B862" s="300" t="s">
        <v>14</v>
      </c>
      <c r="C862" s="301"/>
      <c r="D862" s="301"/>
      <c r="E862" s="302"/>
      <c r="F862" s="303">
        <v>6</v>
      </c>
      <c r="G862" s="304"/>
      <c r="H862" s="285"/>
      <c r="I862" s="287"/>
      <c r="J862" s="288"/>
    </row>
    <row r="863" spans="1:10" ht="10.5" customHeight="1" x14ac:dyDescent="0.3">
      <c r="A863" s="27">
        <v>4</v>
      </c>
      <c r="B863" s="300" t="s">
        <v>13</v>
      </c>
      <c r="C863" s="301"/>
      <c r="D863" s="301"/>
      <c r="E863" s="302"/>
      <c r="F863" s="303">
        <v>88</v>
      </c>
      <c r="G863" s="304"/>
      <c r="H863" s="285"/>
      <c r="I863" s="287"/>
      <c r="J863" s="288"/>
    </row>
    <row r="864" spans="1:10" ht="10.5" customHeight="1" x14ac:dyDescent="0.3">
      <c r="A864" s="27">
        <v>5</v>
      </c>
      <c r="B864" s="300" t="s">
        <v>10</v>
      </c>
      <c r="C864" s="301"/>
      <c r="D864" s="301"/>
      <c r="E864" s="302"/>
      <c r="F864" s="303">
        <v>446.6</v>
      </c>
      <c r="G864" s="304"/>
      <c r="H864" s="285"/>
      <c r="I864" s="287"/>
      <c r="J864" s="288"/>
    </row>
    <row r="865" spans="1:10" ht="10.5" customHeight="1" x14ac:dyDescent="0.3">
      <c r="A865" s="27">
        <v>6</v>
      </c>
      <c r="B865" s="300" t="s">
        <v>11</v>
      </c>
      <c r="C865" s="301"/>
      <c r="D865" s="301"/>
      <c r="E865" s="302"/>
      <c r="F865" s="303">
        <v>3987.9</v>
      </c>
      <c r="G865" s="304"/>
      <c r="H865" s="285"/>
      <c r="I865" s="287"/>
      <c r="J865" s="288"/>
    </row>
    <row r="866" spans="1:10" ht="10.5" customHeight="1" x14ac:dyDescent="0.3">
      <c r="A866" s="28">
        <v>7</v>
      </c>
      <c r="B866" s="306" t="s">
        <v>97</v>
      </c>
      <c r="C866" s="307"/>
      <c r="D866" s="307"/>
      <c r="E866" s="308"/>
      <c r="F866" s="309">
        <v>310.7</v>
      </c>
      <c r="G866" s="310"/>
      <c r="H866" s="285"/>
      <c r="I866" s="287"/>
      <c r="J866" s="288"/>
    </row>
    <row r="867" spans="1:10" ht="10.5" customHeight="1" x14ac:dyDescent="0.3">
      <c r="A867" s="255"/>
      <c r="B867" s="251"/>
      <c r="C867" s="251"/>
      <c r="D867" s="251"/>
      <c r="E867" s="251"/>
      <c r="F867" s="256"/>
      <c r="G867" s="250"/>
      <c r="H867" s="285"/>
      <c r="I867" s="287"/>
      <c r="J867" s="288"/>
    </row>
    <row r="868" spans="1:10" ht="10.5" customHeight="1" x14ac:dyDescent="0.3">
      <c r="A868" s="315" t="s">
        <v>99</v>
      </c>
      <c r="B868" s="316"/>
      <c r="C868" s="316"/>
      <c r="D868" s="316"/>
      <c r="E868" s="316"/>
      <c r="F868" s="316"/>
      <c r="G868" s="317"/>
      <c r="H868" s="285"/>
      <c r="I868" s="287"/>
      <c r="J868" s="288"/>
    </row>
    <row r="869" spans="1:10" ht="10.5" customHeight="1" x14ac:dyDescent="0.3">
      <c r="A869" s="29"/>
      <c r="B869" s="30"/>
      <c r="C869" s="29" t="s">
        <v>19</v>
      </c>
      <c r="D869" s="29"/>
      <c r="E869" s="29"/>
      <c r="F869" s="31"/>
      <c r="G869" s="29" t="s">
        <v>19</v>
      </c>
      <c r="H869" s="285"/>
      <c r="I869" s="287"/>
      <c r="J869" s="288"/>
    </row>
    <row r="870" spans="1:10" ht="10.5" customHeight="1" x14ac:dyDescent="0.3">
      <c r="A870" s="24"/>
      <c r="B870" s="2" t="s">
        <v>1</v>
      </c>
      <c r="C870" s="24" t="s">
        <v>28</v>
      </c>
      <c r="D870" s="24" t="s">
        <v>2</v>
      </c>
      <c r="E870" s="24" t="s">
        <v>16</v>
      </c>
      <c r="F870" s="32" t="s">
        <v>27</v>
      </c>
      <c r="G870" s="24" t="s">
        <v>28</v>
      </c>
      <c r="H870" s="285"/>
      <c r="I870" s="287"/>
      <c r="J870" s="288"/>
    </row>
    <row r="871" spans="1:10" ht="10.5" customHeight="1" x14ac:dyDescent="0.3">
      <c r="A871" s="33"/>
      <c r="B871" s="129"/>
      <c r="C871" s="33" t="s">
        <v>24</v>
      </c>
      <c r="D871" s="33"/>
      <c r="E871" s="34"/>
      <c r="F871" s="35"/>
      <c r="G871" s="33" t="s">
        <v>30</v>
      </c>
      <c r="H871" s="285"/>
      <c r="I871" s="287"/>
      <c r="J871" s="288"/>
    </row>
    <row r="872" spans="1:10" ht="10.5" customHeight="1" x14ac:dyDescent="0.3">
      <c r="A872" s="37" t="s">
        <v>20</v>
      </c>
      <c r="B872" s="131" t="s">
        <v>33</v>
      </c>
      <c r="C872" s="42"/>
      <c r="D872" s="42"/>
      <c r="E872" s="38"/>
      <c r="F872" s="38"/>
      <c r="G872" s="38"/>
      <c r="H872" s="285"/>
      <c r="I872" s="287"/>
      <c r="J872" s="288"/>
    </row>
    <row r="873" spans="1:10" ht="10.5" customHeight="1" x14ac:dyDescent="0.3">
      <c r="A873" s="101"/>
      <c r="B873" s="132" t="s">
        <v>7</v>
      </c>
      <c r="C873" s="39">
        <f>56712.8</f>
        <v>56712.800000000003</v>
      </c>
      <c r="D873" s="5">
        <v>396359.79</v>
      </c>
      <c r="E873" s="5">
        <f>C873+D873-G873</f>
        <v>408689.74999999994</v>
      </c>
      <c r="F873" s="5"/>
      <c r="G873" s="5">
        <f>56878.62-12495.78</f>
        <v>44382.840000000004</v>
      </c>
      <c r="H873" s="285"/>
      <c r="I873" s="287"/>
      <c r="J873" s="288"/>
    </row>
    <row r="874" spans="1:10" ht="10.5" customHeight="1" x14ac:dyDescent="0.3">
      <c r="A874" s="101"/>
      <c r="B874" s="132" t="s">
        <v>8</v>
      </c>
      <c r="C874" s="133">
        <f>D874/12</f>
        <v>1184.6533333333334</v>
      </c>
      <c r="D874" s="5">
        <v>14215.84</v>
      </c>
      <c r="E874" s="5">
        <f>C874+D874-G874</f>
        <v>14121.067733333333</v>
      </c>
      <c r="F874" s="5"/>
      <c r="G874" s="5">
        <f>D874*9%</f>
        <v>1279.4256</v>
      </c>
      <c r="H874" s="285"/>
      <c r="I874" s="287"/>
      <c r="J874" s="288"/>
    </row>
    <row r="875" spans="1:10" ht="10.5" customHeight="1" x14ac:dyDescent="0.3">
      <c r="A875" s="101"/>
      <c r="B875" s="132" t="s">
        <v>17</v>
      </c>
      <c r="C875" s="133">
        <f>D875/12</f>
        <v>620</v>
      </c>
      <c r="D875" s="5">
        <v>7440</v>
      </c>
      <c r="E875" s="5">
        <f>C875+D875-G875</f>
        <v>7390.4</v>
      </c>
      <c r="F875" s="5"/>
      <c r="G875" s="5">
        <f>D875*9%</f>
        <v>669.6</v>
      </c>
      <c r="H875" s="285"/>
      <c r="I875" s="287"/>
      <c r="J875" s="288"/>
    </row>
    <row r="876" spans="1:10" ht="10.5" customHeight="1" x14ac:dyDescent="0.3">
      <c r="A876" s="101"/>
      <c r="B876" s="135" t="s">
        <v>23</v>
      </c>
      <c r="C876" s="50">
        <f>SUM(C873:C875)</f>
        <v>58517.453333333338</v>
      </c>
      <c r="D876" s="50">
        <f>SUM(D873:D875)</f>
        <v>418015.63</v>
      </c>
      <c r="E876" s="50">
        <f>SUM(E873:E875)</f>
        <v>430201.21773333329</v>
      </c>
      <c r="F876" s="50">
        <f>D876+9095.44</f>
        <v>427111.07</v>
      </c>
      <c r="G876" s="50">
        <f>SUM(G873:G875)</f>
        <v>46331.865600000005</v>
      </c>
      <c r="H876" s="285"/>
      <c r="I876" s="287"/>
      <c r="J876" s="288"/>
    </row>
    <row r="877" spans="1:10" ht="10.5" customHeight="1" x14ac:dyDescent="0.3">
      <c r="A877" s="101"/>
      <c r="B877" s="135"/>
      <c r="C877" s="39"/>
      <c r="D877" s="5"/>
      <c r="E877" s="5"/>
      <c r="F877" s="5"/>
      <c r="G877" s="5"/>
      <c r="H877" s="285"/>
      <c r="I877" s="287"/>
      <c r="J877" s="288"/>
    </row>
    <row r="878" spans="1:10" ht="10.5" customHeight="1" x14ac:dyDescent="0.3">
      <c r="A878" s="39">
        <v>2</v>
      </c>
      <c r="B878" s="152" t="s">
        <v>34</v>
      </c>
      <c r="C878" s="50">
        <v>0</v>
      </c>
      <c r="D878" s="50">
        <v>147192.66</v>
      </c>
      <c r="E878" s="50">
        <f>D878-G878</f>
        <v>127101.52</v>
      </c>
      <c r="F878" s="50">
        <f>D878</f>
        <v>147192.66</v>
      </c>
      <c r="G878" s="50">
        <f>12495.78+7428.22+167.14</f>
        <v>20091.14</v>
      </c>
      <c r="H878" s="285"/>
      <c r="I878" s="287"/>
      <c r="J878" s="288"/>
    </row>
    <row r="879" spans="1:10" ht="10.5" customHeight="1" x14ac:dyDescent="0.3">
      <c r="A879" s="40"/>
      <c r="B879" s="40"/>
      <c r="C879" s="40"/>
      <c r="D879" s="40"/>
      <c r="E879" s="40"/>
      <c r="F879" s="40"/>
      <c r="G879" s="40"/>
      <c r="H879" s="285"/>
      <c r="I879" s="287"/>
      <c r="J879" s="288"/>
    </row>
    <row r="880" spans="1:10" ht="10.5" customHeight="1" x14ac:dyDescent="0.3">
      <c r="A880" s="39" t="s">
        <v>22</v>
      </c>
      <c r="B880" s="137" t="s">
        <v>103</v>
      </c>
      <c r="C880" s="5">
        <v>40811.370000000003</v>
      </c>
      <c r="D880" s="5">
        <v>309236.68</v>
      </c>
      <c r="E880" s="5">
        <f>C880+D880-G880</f>
        <v>314885.56</v>
      </c>
      <c r="F880" s="147"/>
      <c r="G880" s="5">
        <f>42757.85-7428.22-167.14</f>
        <v>35162.49</v>
      </c>
      <c r="H880" s="285"/>
      <c r="I880" s="287"/>
      <c r="J880" s="288"/>
    </row>
    <row r="881" spans="1:10" ht="10.5" customHeight="1" x14ac:dyDescent="0.3">
      <c r="A881" s="39"/>
      <c r="B881" s="138" t="s">
        <v>37</v>
      </c>
      <c r="C881" s="5">
        <f>D881/12</f>
        <v>1522.4291666666668</v>
      </c>
      <c r="D881" s="5">
        <v>18269.150000000001</v>
      </c>
      <c r="E881" s="5">
        <f>C881+D881-G881</f>
        <v>18147.35566666667</v>
      </c>
      <c r="F881" s="139"/>
      <c r="G881" s="5">
        <f>D881*9%</f>
        <v>1644.2235000000001</v>
      </c>
      <c r="H881" s="285"/>
      <c r="I881" s="287"/>
      <c r="J881" s="288"/>
    </row>
    <row r="882" spans="1:10" ht="10.5" customHeight="1" x14ac:dyDescent="0.3">
      <c r="A882" s="79"/>
      <c r="B882" s="140" t="s">
        <v>23</v>
      </c>
      <c r="C882" s="80">
        <f>SUM(C880:C881)</f>
        <v>42333.799166666671</v>
      </c>
      <c r="D882" s="185">
        <f>SUM(D880:D881)</f>
        <v>327505.83</v>
      </c>
      <c r="E882" s="80">
        <f>SUM(E880:E881)</f>
        <v>333032.9156666667</v>
      </c>
      <c r="F882" s="186">
        <v>445081.55</v>
      </c>
      <c r="G882" s="80">
        <f>SUM(G880:G881)</f>
        <v>36806.713499999998</v>
      </c>
      <c r="H882" s="285"/>
      <c r="I882" s="287"/>
      <c r="J882" s="288"/>
    </row>
    <row r="883" spans="1:10" ht="10.5" customHeight="1" x14ac:dyDescent="0.3">
      <c r="A883" s="81"/>
      <c r="B883" s="82" t="s">
        <v>74</v>
      </c>
      <c r="C883" s="90">
        <f>C882+C878+C876</f>
        <v>100851.2525</v>
      </c>
      <c r="D883" s="90">
        <f>D882+D878+D876</f>
        <v>892714.12</v>
      </c>
      <c r="E883" s="90">
        <f>E882+E878+E876</f>
        <v>890335.65339999995</v>
      </c>
      <c r="F883" s="90">
        <f>F882+F878+F876</f>
        <v>1019385.28</v>
      </c>
      <c r="G883" s="90">
        <f>G882+G878+G876</f>
        <v>103229.7191</v>
      </c>
      <c r="H883" s="285"/>
      <c r="I883" s="287"/>
      <c r="J883" s="288"/>
    </row>
    <row r="884" spans="1:10" ht="10.5" customHeight="1" x14ac:dyDescent="0.3">
      <c r="A884" s="130"/>
      <c r="B884" s="36"/>
      <c r="C884" s="30"/>
      <c r="D884" s="36"/>
      <c r="E884" s="36"/>
      <c r="F884" s="36"/>
      <c r="G884" s="44"/>
      <c r="H884" s="285"/>
      <c r="I884" s="287"/>
      <c r="J884" s="288"/>
    </row>
    <row r="885" spans="1:10" ht="10.5" customHeight="1" x14ac:dyDescent="0.3">
      <c r="A885" s="318" t="s">
        <v>18</v>
      </c>
      <c r="B885" s="319"/>
      <c r="C885" s="319"/>
      <c r="D885" s="319"/>
      <c r="E885" s="319"/>
      <c r="F885" s="319"/>
      <c r="G885" s="45"/>
      <c r="H885" s="285"/>
      <c r="I885" s="287"/>
      <c r="J885" s="288"/>
    </row>
    <row r="886" spans="1:10" ht="10.5" customHeight="1" x14ac:dyDescent="0.3">
      <c r="A886" s="1"/>
      <c r="B886" s="2"/>
      <c r="C886" s="29" t="s">
        <v>19</v>
      </c>
      <c r="D886" s="29"/>
      <c r="E886" s="29"/>
      <c r="F886" s="31"/>
      <c r="G886" s="29" t="s">
        <v>19</v>
      </c>
      <c r="H886" s="285"/>
      <c r="I886" s="287"/>
      <c r="J886" s="288"/>
    </row>
    <row r="887" spans="1:10" ht="10.5" customHeight="1" x14ac:dyDescent="0.3">
      <c r="A887" s="1" t="s">
        <v>15</v>
      </c>
      <c r="B887" s="2" t="s">
        <v>1</v>
      </c>
      <c r="C887" s="24" t="s">
        <v>28</v>
      </c>
      <c r="D887" s="24" t="s">
        <v>2</v>
      </c>
      <c r="E887" s="24" t="s">
        <v>16</v>
      </c>
      <c r="F887" s="32" t="s">
        <v>27</v>
      </c>
      <c r="G887" s="24" t="s">
        <v>28</v>
      </c>
      <c r="H887" s="285"/>
      <c r="I887" s="287"/>
      <c r="J887" s="288"/>
    </row>
    <row r="888" spans="1:10" ht="10.5" customHeight="1" x14ac:dyDescent="0.3">
      <c r="A888" s="1"/>
      <c r="B888" s="2"/>
      <c r="C888" s="33" t="s">
        <v>24</v>
      </c>
      <c r="D888" s="33"/>
      <c r="E888" s="34"/>
      <c r="F888" s="35"/>
      <c r="G888" s="33" t="s">
        <v>30</v>
      </c>
      <c r="H888" s="285"/>
      <c r="I888" s="287"/>
      <c r="J888" s="288"/>
    </row>
    <row r="889" spans="1:10" ht="10.5" customHeight="1" x14ac:dyDescent="0.3">
      <c r="A889" s="47" t="s">
        <v>20</v>
      </c>
      <c r="B889" s="143" t="s">
        <v>21</v>
      </c>
      <c r="C889" s="38"/>
      <c r="D889" s="38"/>
      <c r="E889" s="38"/>
      <c r="F889" s="38"/>
      <c r="G889" s="38"/>
      <c r="H889" s="285"/>
      <c r="I889" s="287"/>
      <c r="J889" s="288"/>
    </row>
    <row r="890" spans="1:10" ht="10.5" customHeight="1" x14ac:dyDescent="0.3">
      <c r="A890" s="48"/>
      <c r="B890" s="40" t="s">
        <v>104</v>
      </c>
      <c r="C890" s="57">
        <f>84016.23</f>
        <v>84016.23</v>
      </c>
      <c r="D890" s="5">
        <v>880574.18</v>
      </c>
      <c r="E890" s="71">
        <f>C890+D890-G890</f>
        <v>827851.49</v>
      </c>
      <c r="F890" s="77"/>
      <c r="G890" s="57">
        <f>136738.92</f>
        <v>136738.92000000001</v>
      </c>
      <c r="H890" s="285"/>
      <c r="I890" s="287"/>
      <c r="J890" s="288"/>
    </row>
    <row r="891" spans="1:10" ht="10.5" customHeight="1" x14ac:dyDescent="0.3">
      <c r="A891" s="39"/>
      <c r="B891" s="138" t="s">
        <v>117</v>
      </c>
      <c r="C891" s="57">
        <f>D891/12</f>
        <v>6786.564166666667</v>
      </c>
      <c r="D891" s="5">
        <v>81438.77</v>
      </c>
      <c r="E891" s="71">
        <f>C891+D891-G891</f>
        <v>80895.844866666666</v>
      </c>
      <c r="F891" s="77"/>
      <c r="G891" s="57">
        <f>D891*9%</f>
        <v>7329.4893000000002</v>
      </c>
      <c r="H891" s="285"/>
      <c r="I891" s="287"/>
      <c r="J891" s="288"/>
    </row>
    <row r="892" spans="1:10" ht="10.5" customHeight="1" x14ac:dyDescent="0.3">
      <c r="A892" s="39"/>
      <c r="B892" s="135" t="s">
        <v>23</v>
      </c>
      <c r="C892" s="104">
        <f>SUM(C890:C891)</f>
        <v>90802.794166666659</v>
      </c>
      <c r="D892" s="104">
        <f>SUM(D890:D891)</f>
        <v>962012.95000000007</v>
      </c>
      <c r="E892" s="104">
        <f>SUM(E890:E891)</f>
        <v>908747.3348666667</v>
      </c>
      <c r="F892" s="195"/>
      <c r="G892" s="104">
        <f>SUM(G890:G891)</f>
        <v>144068.4093</v>
      </c>
      <c r="H892" s="285"/>
      <c r="I892" s="287"/>
      <c r="J892" s="288"/>
    </row>
    <row r="893" spans="1:10" ht="10.5" customHeight="1" x14ac:dyDescent="0.3">
      <c r="A893" s="39"/>
      <c r="B893" s="138"/>
      <c r="C893" s="57"/>
      <c r="D893" s="5"/>
      <c r="E893" s="71"/>
      <c r="F893" s="77"/>
      <c r="G893" s="57"/>
      <c r="H893" s="285"/>
      <c r="I893" s="287"/>
      <c r="J893" s="288"/>
    </row>
    <row r="894" spans="1:10" ht="10.5" customHeight="1" x14ac:dyDescent="0.3">
      <c r="A894" s="49"/>
      <c r="B894" s="40" t="s">
        <v>107</v>
      </c>
      <c r="C894" s="71">
        <f>31041.48+6083.42+41.08</f>
        <v>37165.980000000003</v>
      </c>
      <c r="D894" s="5">
        <v>303007</v>
      </c>
      <c r="E894" s="71">
        <f>C894+D894-G894</f>
        <v>293337.3</v>
      </c>
      <c r="F894" s="77"/>
      <c r="G894" s="71">
        <f>37920.37+8915.31+0</f>
        <v>46835.68</v>
      </c>
      <c r="H894" s="285"/>
      <c r="I894" s="287"/>
      <c r="J894" s="288"/>
    </row>
    <row r="895" spans="1:10" ht="10.5" customHeight="1" x14ac:dyDescent="0.3">
      <c r="A895" s="49"/>
      <c r="B895" s="138" t="s">
        <v>117</v>
      </c>
      <c r="C895" s="71">
        <f>D895/12</f>
        <v>440.92083333333335</v>
      </c>
      <c r="D895" s="5">
        <v>5291.05</v>
      </c>
      <c r="E895" s="71">
        <f>C895+D895-G895</f>
        <v>5255.7763333333342</v>
      </c>
      <c r="F895" s="77"/>
      <c r="G895" s="71">
        <f>D895*9%</f>
        <v>476.19450000000001</v>
      </c>
      <c r="H895" s="285"/>
      <c r="I895" s="287"/>
      <c r="J895" s="288"/>
    </row>
    <row r="896" spans="1:10" ht="10.5" customHeight="1" x14ac:dyDescent="0.3">
      <c r="A896" s="49"/>
      <c r="B896" s="135" t="s">
        <v>23</v>
      </c>
      <c r="C896" s="50">
        <f>SUM(C894:C895)</f>
        <v>37606.900833333333</v>
      </c>
      <c r="D896" s="50">
        <f>SUM(D894:D895)</f>
        <v>308298.05</v>
      </c>
      <c r="E896" s="50">
        <f>SUM(E894:E895)</f>
        <v>298593.07633333333</v>
      </c>
      <c r="F896" s="147"/>
      <c r="G896" s="50">
        <f>SUM(G894:G895)</f>
        <v>47311.874499999998</v>
      </c>
      <c r="H896" s="285"/>
      <c r="I896" s="287"/>
      <c r="J896" s="288"/>
    </row>
    <row r="897" spans="1:10" ht="10.5" customHeight="1" x14ac:dyDescent="0.3">
      <c r="A897" s="49"/>
      <c r="B897" s="135"/>
      <c r="C897" s="50"/>
      <c r="D897" s="50"/>
      <c r="E897" s="50"/>
      <c r="F897" s="50"/>
      <c r="G897" s="50"/>
      <c r="H897" s="285"/>
      <c r="I897" s="287"/>
      <c r="J897" s="288"/>
    </row>
    <row r="898" spans="1:10" ht="10.5" customHeight="1" x14ac:dyDescent="0.3">
      <c r="A898" s="49"/>
      <c r="B898" s="135" t="s">
        <v>79</v>
      </c>
      <c r="C898" s="50">
        <f>C896+C892</f>
        <v>128409.69499999999</v>
      </c>
      <c r="D898" s="50">
        <f>D896+D892</f>
        <v>1270311</v>
      </c>
      <c r="E898" s="50">
        <f>E896+E892</f>
        <v>1207340.4112</v>
      </c>
      <c r="F898" s="50">
        <v>1270096.1599999999</v>
      </c>
      <c r="G898" s="50">
        <f>G896+G892</f>
        <v>191380.2838</v>
      </c>
      <c r="H898" s="285"/>
      <c r="I898" s="287"/>
      <c r="J898" s="288"/>
    </row>
    <row r="899" spans="1:10" ht="10.5" customHeight="1" x14ac:dyDescent="0.3">
      <c r="A899" s="39"/>
      <c r="B899" s="134"/>
      <c r="C899" s="50"/>
      <c r="D899" s="5"/>
      <c r="E899" s="5"/>
      <c r="F899" s="5"/>
      <c r="G899" s="5"/>
      <c r="H899" s="285"/>
      <c r="I899" s="287"/>
      <c r="J899" s="288"/>
    </row>
    <row r="900" spans="1:10" ht="10.5" customHeight="1" x14ac:dyDescent="0.3">
      <c r="A900" s="101" t="s">
        <v>26</v>
      </c>
      <c r="B900" s="137" t="s">
        <v>29</v>
      </c>
      <c r="C900" s="5"/>
      <c r="D900" s="5"/>
      <c r="E900" s="5"/>
      <c r="F900" s="5"/>
      <c r="G900" s="5"/>
      <c r="H900" s="285"/>
      <c r="I900" s="287"/>
      <c r="J900" s="288"/>
    </row>
    <row r="901" spans="1:10" ht="10.5" customHeight="1" x14ac:dyDescent="0.3">
      <c r="A901" s="101"/>
      <c r="B901" s="40" t="s">
        <v>31</v>
      </c>
      <c r="C901" s="43">
        <f>42110.67+23843.17</f>
        <v>65953.84</v>
      </c>
      <c r="D901" s="5">
        <v>518250.06</v>
      </c>
      <c r="E901" s="5">
        <f>C901+D901-G901</f>
        <v>506370.57</v>
      </c>
      <c r="F901" s="5"/>
      <c r="G901" s="5">
        <f>49674.55+28158.78</f>
        <v>77833.33</v>
      </c>
      <c r="H901" s="285"/>
      <c r="I901" s="287"/>
      <c r="J901" s="288"/>
    </row>
    <row r="902" spans="1:10" ht="10.5" customHeight="1" x14ac:dyDescent="0.3">
      <c r="A902" s="39"/>
      <c r="B902" s="115" t="s">
        <v>32</v>
      </c>
      <c r="C902" s="43">
        <f>D902/12</f>
        <v>708.66499999999996</v>
      </c>
      <c r="D902" s="5">
        <f>5042.01+3461.97</f>
        <v>8503.98</v>
      </c>
      <c r="E902" s="5">
        <f>C902+D902-G902</f>
        <v>8447.2867999999999</v>
      </c>
      <c r="F902" s="5"/>
      <c r="G902" s="5">
        <f>D902*9%</f>
        <v>765.3581999999999</v>
      </c>
      <c r="H902" s="285"/>
      <c r="I902" s="287"/>
      <c r="J902" s="288"/>
    </row>
    <row r="903" spans="1:10" ht="10.5" customHeight="1" x14ac:dyDescent="0.3">
      <c r="A903" s="39"/>
      <c r="B903" s="177" t="s">
        <v>23</v>
      </c>
      <c r="C903" s="58">
        <f>SUM(C901:C902)</f>
        <v>66662.50499999999</v>
      </c>
      <c r="D903" s="50">
        <f>SUM(D901:D902)</f>
        <v>526754.04</v>
      </c>
      <c r="E903" s="50">
        <f>SUM(E901:E902)</f>
        <v>514817.85680000001</v>
      </c>
      <c r="F903" s="50">
        <f>D903</f>
        <v>526754.04</v>
      </c>
      <c r="G903" s="50">
        <f>SUM(G901:G902)</f>
        <v>78598.688200000004</v>
      </c>
      <c r="H903" s="285"/>
      <c r="I903" s="287"/>
      <c r="J903" s="288"/>
    </row>
    <row r="904" spans="1:10" ht="10.5" customHeight="1" x14ac:dyDescent="0.3">
      <c r="A904" s="170"/>
      <c r="B904" s="145"/>
      <c r="C904" s="5"/>
      <c r="D904" s="13"/>
      <c r="E904" s="5"/>
      <c r="F904" s="5"/>
      <c r="G904" s="5"/>
      <c r="H904" s="285"/>
      <c r="I904" s="287"/>
      <c r="J904" s="288"/>
    </row>
    <row r="905" spans="1:10" ht="10.5" customHeight="1" x14ac:dyDescent="0.3">
      <c r="A905" s="102" t="s">
        <v>22</v>
      </c>
      <c r="B905" s="183" t="s">
        <v>69</v>
      </c>
      <c r="C905" s="52">
        <v>67196.850000000006</v>
      </c>
      <c r="D905" s="92">
        <v>420533.87</v>
      </c>
      <c r="E905" s="52">
        <v>414408.02</v>
      </c>
      <c r="F905" s="52">
        <v>421735.2</v>
      </c>
      <c r="G905" s="52">
        <f>C905+D905-E905</f>
        <v>73322.699999999953</v>
      </c>
      <c r="H905" s="285"/>
      <c r="I905" s="287"/>
      <c r="J905" s="288"/>
    </row>
    <row r="906" spans="1:10" ht="10.5" customHeight="1" x14ac:dyDescent="0.3">
      <c r="A906" s="81"/>
      <c r="B906" s="82" t="s">
        <v>74</v>
      </c>
      <c r="C906" s="90">
        <f>C905+C903+C898</f>
        <v>262269.05</v>
      </c>
      <c r="D906" s="90">
        <f>D905+D903+D898</f>
        <v>2217598.91</v>
      </c>
      <c r="E906" s="90">
        <f>E905+E903+E898</f>
        <v>2136566.2879999997</v>
      </c>
      <c r="F906" s="90">
        <f>F905+F903+F898</f>
        <v>2218585.4</v>
      </c>
      <c r="G906" s="90">
        <f>G905+G903+G898</f>
        <v>343301.67199999996</v>
      </c>
      <c r="H906" s="285"/>
      <c r="I906" s="287"/>
      <c r="J906" s="288"/>
    </row>
    <row r="907" spans="1:10" ht="11.1" customHeight="1" x14ac:dyDescent="0.3">
      <c r="A907" s="148"/>
      <c r="B907" s="148"/>
      <c r="C907" s="148"/>
      <c r="D907" s="148"/>
      <c r="E907" s="148"/>
      <c r="F907" s="148"/>
      <c r="G907" s="148"/>
      <c r="H907" s="285"/>
      <c r="I907" s="287"/>
      <c r="J907" s="288"/>
    </row>
    <row r="908" spans="1:10" ht="11.1" customHeight="1" x14ac:dyDescent="0.3">
      <c r="A908" s="148"/>
      <c r="B908" s="148"/>
      <c r="C908" s="148"/>
      <c r="D908" s="148"/>
      <c r="E908" s="148"/>
      <c r="F908" s="148"/>
      <c r="G908" s="148"/>
      <c r="H908" s="285"/>
      <c r="I908" s="287"/>
      <c r="J908" s="288"/>
    </row>
    <row r="909" spans="1:10" ht="11.1" customHeight="1" x14ac:dyDescent="0.3">
      <c r="A909" s="148"/>
      <c r="B909" s="148"/>
      <c r="C909" s="148"/>
      <c r="D909" s="148"/>
      <c r="E909" s="148"/>
      <c r="F909" s="148"/>
      <c r="G909" s="148"/>
      <c r="H909" s="285"/>
      <c r="I909" s="287"/>
      <c r="J909" s="288"/>
    </row>
    <row r="910" spans="1:10" ht="11.1" customHeight="1" x14ac:dyDescent="0.3">
      <c r="A910" s="305" t="s">
        <v>6</v>
      </c>
      <c r="B910" s="305"/>
      <c r="C910" s="305"/>
      <c r="D910" s="305"/>
      <c r="E910" s="305"/>
      <c r="F910" s="305"/>
      <c r="G910" s="305"/>
      <c r="H910" s="285"/>
      <c r="I910" s="287"/>
      <c r="J910" s="288"/>
    </row>
    <row r="911" spans="1:10" ht="11.1" customHeight="1" x14ac:dyDescent="0.3">
      <c r="A911" s="305" t="s">
        <v>35</v>
      </c>
      <c r="B911" s="305"/>
      <c r="C911" s="305"/>
      <c r="D911" s="305"/>
      <c r="E911" s="305"/>
      <c r="F911" s="305"/>
      <c r="G911" s="305"/>
      <c r="H911" s="285"/>
      <c r="I911" s="287"/>
      <c r="J911" s="288"/>
    </row>
    <row r="912" spans="1:10" ht="11.1" customHeight="1" x14ac:dyDescent="0.3">
      <c r="A912" s="311" t="s">
        <v>36</v>
      </c>
      <c r="B912" s="311"/>
      <c r="C912" s="311"/>
      <c r="D912" s="311"/>
      <c r="E912" s="311"/>
      <c r="F912" s="311"/>
      <c r="G912" s="311"/>
      <c r="H912" s="285"/>
      <c r="I912" s="287"/>
      <c r="J912" s="288"/>
    </row>
    <row r="913" spans="1:10" ht="11.1" customHeight="1" x14ac:dyDescent="0.3">
      <c r="A913" s="312" t="s">
        <v>57</v>
      </c>
      <c r="B913" s="313"/>
      <c r="C913" s="313"/>
      <c r="D913" s="313"/>
      <c r="E913" s="313"/>
      <c r="F913" s="313"/>
      <c r="G913" s="314"/>
      <c r="H913" s="285"/>
      <c r="I913" s="287"/>
      <c r="J913" s="288"/>
    </row>
    <row r="914" spans="1:10" ht="11.1" customHeight="1" x14ac:dyDescent="0.3">
      <c r="A914" s="25"/>
      <c r="B914" s="292" t="s">
        <v>3</v>
      </c>
      <c r="C914" s="293"/>
      <c r="D914" s="293"/>
      <c r="E914" s="293"/>
      <c r="F914" s="293"/>
      <c r="G914" s="294"/>
      <c r="H914" s="285"/>
      <c r="I914" s="287"/>
      <c r="J914" s="288"/>
    </row>
    <row r="915" spans="1:10" ht="11.1" customHeight="1" x14ac:dyDescent="0.3">
      <c r="A915" s="26">
        <v>1</v>
      </c>
      <c r="B915" s="295" t="s">
        <v>4</v>
      </c>
      <c r="C915" s="296"/>
      <c r="D915" s="296"/>
      <c r="E915" s="297"/>
      <c r="F915" s="298">
        <v>1977</v>
      </c>
      <c r="G915" s="299"/>
      <c r="H915" s="285"/>
      <c r="I915" s="287"/>
      <c r="J915" s="288"/>
    </row>
    <row r="916" spans="1:10" ht="11.1" customHeight="1" x14ac:dyDescent="0.3">
      <c r="A916" s="27">
        <v>2</v>
      </c>
      <c r="B916" s="300" t="s">
        <v>12</v>
      </c>
      <c r="C916" s="301"/>
      <c r="D916" s="301"/>
      <c r="E916" s="302"/>
      <c r="F916" s="303">
        <v>5</v>
      </c>
      <c r="G916" s="304"/>
      <c r="H916" s="285"/>
      <c r="I916" s="287"/>
      <c r="J916" s="288"/>
    </row>
    <row r="917" spans="1:10" ht="11.1" customHeight="1" x14ac:dyDescent="0.3">
      <c r="A917" s="27">
        <v>3</v>
      </c>
      <c r="B917" s="300" t="s">
        <v>14</v>
      </c>
      <c r="C917" s="301"/>
      <c r="D917" s="301"/>
      <c r="E917" s="302"/>
      <c r="F917" s="303">
        <v>6</v>
      </c>
      <c r="G917" s="304"/>
      <c r="H917" s="285"/>
      <c r="I917" s="287"/>
      <c r="J917" s="288"/>
    </row>
    <row r="918" spans="1:10" ht="11.1" customHeight="1" x14ac:dyDescent="0.3">
      <c r="A918" s="27">
        <v>4</v>
      </c>
      <c r="B918" s="300" t="s">
        <v>13</v>
      </c>
      <c r="C918" s="301"/>
      <c r="D918" s="301"/>
      <c r="E918" s="302"/>
      <c r="F918" s="303">
        <v>87</v>
      </c>
      <c r="G918" s="304"/>
      <c r="H918" s="285"/>
      <c r="I918" s="287"/>
      <c r="J918" s="288"/>
    </row>
    <row r="919" spans="1:10" ht="11.1" customHeight="1" x14ac:dyDescent="0.3">
      <c r="A919" s="27">
        <v>5</v>
      </c>
      <c r="B919" s="300" t="s">
        <v>10</v>
      </c>
      <c r="C919" s="301"/>
      <c r="D919" s="301"/>
      <c r="E919" s="302"/>
      <c r="F919" s="303">
        <v>411.6</v>
      </c>
      <c r="G919" s="304"/>
      <c r="H919" s="285"/>
      <c r="I919" s="287"/>
      <c r="J919" s="288"/>
    </row>
    <row r="920" spans="1:10" ht="11.1" customHeight="1" x14ac:dyDescent="0.3">
      <c r="A920" s="27">
        <v>6</v>
      </c>
      <c r="B920" s="300" t="s">
        <v>11</v>
      </c>
      <c r="C920" s="301"/>
      <c r="D920" s="301"/>
      <c r="E920" s="302"/>
      <c r="F920" s="303">
        <v>4348.33</v>
      </c>
      <c r="G920" s="304"/>
      <c r="H920" s="285"/>
      <c r="I920" s="287"/>
      <c r="J920" s="288"/>
    </row>
    <row r="921" spans="1:10" ht="11.1" customHeight="1" x14ac:dyDescent="0.3">
      <c r="A921" s="28">
        <v>7</v>
      </c>
      <c r="B921" s="306" t="s">
        <v>9</v>
      </c>
      <c r="C921" s="307"/>
      <c r="D921" s="307"/>
      <c r="E921" s="308"/>
      <c r="F921" s="309">
        <v>51.2</v>
      </c>
      <c r="G921" s="310"/>
      <c r="H921" s="285"/>
      <c r="I921" s="287"/>
      <c r="J921" s="288"/>
    </row>
    <row r="922" spans="1:10" ht="11.1" customHeight="1" x14ac:dyDescent="0.3">
      <c r="A922" s="255"/>
      <c r="B922" s="251"/>
      <c r="C922" s="251"/>
      <c r="D922" s="251"/>
      <c r="E922" s="251"/>
      <c r="F922" s="256"/>
      <c r="G922" s="250"/>
      <c r="H922" s="285"/>
      <c r="I922" s="287"/>
      <c r="J922" s="288"/>
    </row>
    <row r="923" spans="1:10" ht="10.5" customHeight="1" x14ac:dyDescent="0.3">
      <c r="A923" s="315" t="s">
        <v>99</v>
      </c>
      <c r="B923" s="316"/>
      <c r="C923" s="316"/>
      <c r="D923" s="316"/>
      <c r="E923" s="316"/>
      <c r="F923" s="316"/>
      <c r="G923" s="317"/>
      <c r="H923" s="285"/>
      <c r="I923" s="287"/>
      <c r="J923" s="288"/>
    </row>
    <row r="924" spans="1:10" ht="10.5" customHeight="1" x14ac:dyDescent="0.3">
      <c r="A924" s="29"/>
      <c r="B924" s="30"/>
      <c r="C924" s="29" t="s">
        <v>19</v>
      </c>
      <c r="D924" s="29"/>
      <c r="E924" s="29"/>
      <c r="F924" s="31"/>
      <c r="G924" s="29" t="s">
        <v>19</v>
      </c>
      <c r="H924" s="285"/>
      <c r="I924" s="287"/>
      <c r="J924" s="288"/>
    </row>
    <row r="925" spans="1:10" ht="10.5" customHeight="1" x14ac:dyDescent="0.3">
      <c r="A925" s="24"/>
      <c r="B925" s="2" t="s">
        <v>1</v>
      </c>
      <c r="C925" s="24" t="s">
        <v>28</v>
      </c>
      <c r="D925" s="24" t="s">
        <v>2</v>
      </c>
      <c r="E925" s="24" t="s">
        <v>16</v>
      </c>
      <c r="F925" s="32" t="s">
        <v>27</v>
      </c>
      <c r="G925" s="24" t="s">
        <v>28</v>
      </c>
      <c r="H925" s="285"/>
      <c r="I925" s="287"/>
      <c r="J925" s="288"/>
    </row>
    <row r="926" spans="1:10" ht="10.5" customHeight="1" x14ac:dyDescent="0.3">
      <c r="A926" s="33"/>
      <c r="B926" s="129"/>
      <c r="C926" s="33" t="s">
        <v>24</v>
      </c>
      <c r="D926" s="33"/>
      <c r="E926" s="34"/>
      <c r="F926" s="35"/>
      <c r="G926" s="33" t="s">
        <v>30</v>
      </c>
      <c r="H926" s="285"/>
      <c r="I926" s="287"/>
      <c r="J926" s="288"/>
    </row>
    <row r="927" spans="1:10" ht="10.5" customHeight="1" x14ac:dyDescent="0.3">
      <c r="A927" s="37" t="s">
        <v>20</v>
      </c>
      <c r="B927" s="131" t="s">
        <v>33</v>
      </c>
      <c r="C927" s="42"/>
      <c r="D927" s="42"/>
      <c r="E927" s="38"/>
      <c r="F927" s="38"/>
      <c r="G927" s="38"/>
      <c r="H927" s="285"/>
      <c r="I927" s="287"/>
      <c r="J927" s="288"/>
    </row>
    <row r="928" spans="1:10" ht="10.5" customHeight="1" x14ac:dyDescent="0.3">
      <c r="A928" s="101"/>
      <c r="B928" s="132" t="s">
        <v>7</v>
      </c>
      <c r="C928" s="39">
        <v>65623.649999999994</v>
      </c>
      <c r="D928" s="5">
        <v>394895.98</v>
      </c>
      <c r="E928" s="5">
        <f>C928+D928-G928</f>
        <v>381442.71</v>
      </c>
      <c r="F928" s="5"/>
      <c r="G928" s="5">
        <f>95493-16416.08</f>
        <v>79076.92</v>
      </c>
      <c r="H928" s="285"/>
      <c r="I928" s="287"/>
      <c r="J928" s="288"/>
    </row>
    <row r="929" spans="1:10" ht="10.5" customHeight="1" x14ac:dyDescent="0.3">
      <c r="A929" s="101"/>
      <c r="B929" s="132" t="s">
        <v>8</v>
      </c>
      <c r="C929" s="133">
        <f>D929/12</f>
        <v>333.18416666666667</v>
      </c>
      <c r="D929" s="5">
        <v>3998.21</v>
      </c>
      <c r="E929" s="5">
        <f>C929+D929-G929</f>
        <v>3971.5552666666672</v>
      </c>
      <c r="F929" s="5"/>
      <c r="G929" s="5">
        <f>D929*9%</f>
        <v>359.83889999999997</v>
      </c>
      <c r="H929" s="285"/>
      <c r="I929" s="287"/>
      <c r="J929" s="288"/>
    </row>
    <row r="930" spans="1:10" ht="10.5" customHeight="1" x14ac:dyDescent="0.3">
      <c r="A930" s="101"/>
      <c r="B930" s="132" t="s">
        <v>17</v>
      </c>
      <c r="C930" s="39">
        <f>D930/12</f>
        <v>620</v>
      </c>
      <c r="D930" s="5">
        <v>7440</v>
      </c>
      <c r="E930" s="5">
        <f>C930+D930-G930</f>
        <v>7390.4</v>
      </c>
      <c r="F930" s="5"/>
      <c r="G930" s="5">
        <f>D930*9%</f>
        <v>669.6</v>
      </c>
      <c r="H930" s="285"/>
      <c r="I930" s="287"/>
      <c r="J930" s="288"/>
    </row>
    <row r="931" spans="1:10" ht="10.5" customHeight="1" x14ac:dyDescent="0.3">
      <c r="A931" s="101"/>
      <c r="B931" s="135" t="s">
        <v>23</v>
      </c>
      <c r="C931" s="50">
        <f>SUM(C928:C930)</f>
        <v>66576.834166666667</v>
      </c>
      <c r="D931" s="50">
        <f>SUM(D928:D930)</f>
        <v>406334.19</v>
      </c>
      <c r="E931" s="50">
        <f>SUM(E928:E930)</f>
        <v>392804.66526666674</v>
      </c>
      <c r="F931" s="50">
        <f>D931+3838.07</f>
        <v>410172.26</v>
      </c>
      <c r="G931" s="50">
        <f>SUM(G928:G930)</f>
        <v>80106.358900000007</v>
      </c>
      <c r="H931" s="285"/>
      <c r="I931" s="287"/>
      <c r="J931" s="288"/>
    </row>
    <row r="932" spans="1:10" ht="10.5" customHeight="1" x14ac:dyDescent="0.3">
      <c r="A932" s="101"/>
      <c r="B932" s="135"/>
      <c r="C932" s="39"/>
      <c r="D932" s="5"/>
      <c r="E932" s="5"/>
      <c r="F932" s="5"/>
      <c r="G932" s="5"/>
      <c r="H932" s="285"/>
      <c r="I932" s="287"/>
      <c r="J932" s="288"/>
    </row>
    <row r="933" spans="1:10" ht="10.5" customHeight="1" x14ac:dyDescent="0.3">
      <c r="A933" s="39">
        <v>2</v>
      </c>
      <c r="B933" s="152" t="s">
        <v>34</v>
      </c>
      <c r="C933" s="50">
        <v>0</v>
      </c>
      <c r="D933" s="50">
        <v>160446.89000000001</v>
      </c>
      <c r="E933" s="50">
        <f>D933-G933</f>
        <v>134052.52000000002</v>
      </c>
      <c r="F933" s="50">
        <f>D933</f>
        <v>160446.89000000001</v>
      </c>
      <c r="G933" s="50">
        <f>16416.08+9584.11+394.18</f>
        <v>26394.370000000003</v>
      </c>
      <c r="H933" s="285"/>
      <c r="I933" s="287"/>
      <c r="J933" s="288"/>
    </row>
    <row r="934" spans="1:10" ht="10.5" customHeight="1" x14ac:dyDescent="0.3">
      <c r="A934" s="40"/>
      <c r="B934" s="40"/>
      <c r="C934" s="40"/>
      <c r="D934" s="40"/>
      <c r="E934" s="40"/>
      <c r="F934" s="40"/>
      <c r="G934" s="40"/>
      <c r="H934" s="285"/>
      <c r="I934" s="287"/>
      <c r="J934" s="288"/>
    </row>
    <row r="935" spans="1:10" ht="10.5" customHeight="1" x14ac:dyDescent="0.3">
      <c r="A935" s="39" t="s">
        <v>22</v>
      </c>
      <c r="B935" s="137" t="s">
        <v>106</v>
      </c>
      <c r="C935" s="5">
        <v>53070.79</v>
      </c>
      <c r="D935" s="5">
        <v>337064.16</v>
      </c>
      <c r="E935" s="5">
        <f>C935+D935-G935</f>
        <v>325239.35999999993</v>
      </c>
      <c r="F935" s="147"/>
      <c r="G935" s="5">
        <f>74873.88-9584.11-394.18</f>
        <v>64895.590000000004</v>
      </c>
      <c r="H935" s="285"/>
      <c r="I935" s="287"/>
      <c r="J935" s="288"/>
    </row>
    <row r="936" spans="1:10" ht="10.5" customHeight="1" x14ac:dyDescent="0.3">
      <c r="A936" s="39"/>
      <c r="B936" s="138" t="s">
        <v>37</v>
      </c>
      <c r="C936" s="5">
        <f>D936/12</f>
        <v>390.2716666666667</v>
      </c>
      <c r="D936" s="5">
        <v>4683.26</v>
      </c>
      <c r="E936" s="5">
        <f>C936+D936-G936</f>
        <v>4652.0382666666665</v>
      </c>
      <c r="F936" s="139"/>
      <c r="G936" s="5">
        <f>D936*9%</f>
        <v>421.49340000000001</v>
      </c>
      <c r="H936" s="285"/>
      <c r="I936" s="287"/>
      <c r="J936" s="288"/>
    </row>
    <row r="937" spans="1:10" ht="10.5" customHeight="1" x14ac:dyDescent="0.3">
      <c r="A937" s="79"/>
      <c r="B937" s="140" t="s">
        <v>23</v>
      </c>
      <c r="C937" s="80">
        <f>SUM(C935:C936)</f>
        <v>53461.061666666668</v>
      </c>
      <c r="D937" s="80">
        <f>SUM(D935:D936)</f>
        <v>341747.42</v>
      </c>
      <c r="E937" s="80">
        <f>SUM(E935:E936)</f>
        <v>329891.39826666657</v>
      </c>
      <c r="F937" s="186">
        <v>210398.63</v>
      </c>
      <c r="G937" s="80">
        <f>SUM(G935:G936)</f>
        <v>65317.083400000003</v>
      </c>
      <c r="H937" s="285"/>
      <c r="I937" s="287"/>
      <c r="J937" s="288"/>
    </row>
    <row r="938" spans="1:10" ht="10.5" customHeight="1" x14ac:dyDescent="0.3">
      <c r="A938" s="81"/>
      <c r="B938" s="82" t="s">
        <v>74</v>
      </c>
      <c r="C938" s="90">
        <f>C937+C933+C931</f>
        <v>120037.89583333334</v>
      </c>
      <c r="D938" s="90">
        <f>D937+D933+D931</f>
        <v>908528.5</v>
      </c>
      <c r="E938" s="90">
        <f>E937+E933+E931</f>
        <v>856748.58353333338</v>
      </c>
      <c r="F938" s="90">
        <f>F937+F933+F931</f>
        <v>781017.78</v>
      </c>
      <c r="G938" s="90">
        <f>G937+G933+G931</f>
        <v>171817.81229999999</v>
      </c>
      <c r="H938" s="285"/>
      <c r="I938" s="287"/>
      <c r="J938" s="288"/>
    </row>
    <row r="939" spans="1:10" ht="10.5" customHeight="1" x14ac:dyDescent="0.3">
      <c r="A939" s="130"/>
      <c r="B939" s="36"/>
      <c r="C939" s="73"/>
      <c r="D939" s="73"/>
      <c r="E939" s="73"/>
      <c r="F939" s="73"/>
      <c r="G939" s="73"/>
      <c r="H939" s="285"/>
      <c r="I939" s="287"/>
      <c r="J939" s="288"/>
    </row>
    <row r="940" spans="1:10" ht="10.5" customHeight="1" x14ac:dyDescent="0.3">
      <c r="A940" s="318" t="s">
        <v>18</v>
      </c>
      <c r="B940" s="319"/>
      <c r="C940" s="319"/>
      <c r="D940" s="319"/>
      <c r="E940" s="319"/>
      <c r="F940" s="319"/>
      <c r="G940" s="45"/>
      <c r="H940" s="285"/>
      <c r="I940" s="287"/>
      <c r="J940" s="288"/>
    </row>
    <row r="941" spans="1:10" ht="10.5" customHeight="1" x14ac:dyDescent="0.3">
      <c r="A941" s="1"/>
      <c r="B941" s="2"/>
      <c r="C941" s="29" t="s">
        <v>19</v>
      </c>
      <c r="D941" s="29"/>
      <c r="E941" s="29"/>
      <c r="F941" s="31"/>
      <c r="G941" s="29" t="s">
        <v>19</v>
      </c>
      <c r="H941" s="285"/>
      <c r="I941" s="287"/>
      <c r="J941" s="288"/>
    </row>
    <row r="942" spans="1:10" ht="10.5" customHeight="1" x14ac:dyDescent="0.3">
      <c r="A942" s="1" t="s">
        <v>15</v>
      </c>
      <c r="B942" s="2" t="s">
        <v>1</v>
      </c>
      <c r="C942" s="24" t="s">
        <v>28</v>
      </c>
      <c r="D942" s="24" t="s">
        <v>2</v>
      </c>
      <c r="E942" s="24" t="s">
        <v>16</v>
      </c>
      <c r="F942" s="32" t="s">
        <v>27</v>
      </c>
      <c r="G942" s="24" t="s">
        <v>28</v>
      </c>
      <c r="H942" s="285"/>
      <c r="I942" s="287"/>
      <c r="J942" s="288"/>
    </row>
    <row r="943" spans="1:10" ht="10.5" customHeight="1" x14ac:dyDescent="0.3">
      <c r="A943" s="1"/>
      <c r="B943" s="2"/>
      <c r="C943" s="33" t="s">
        <v>24</v>
      </c>
      <c r="D943" s="33"/>
      <c r="E943" s="34"/>
      <c r="F943" s="35"/>
      <c r="G943" s="33" t="s">
        <v>30</v>
      </c>
      <c r="H943" s="285"/>
      <c r="I943" s="287"/>
      <c r="J943" s="288"/>
    </row>
    <row r="944" spans="1:10" ht="10.5" customHeight="1" x14ac:dyDescent="0.3">
      <c r="A944" s="47" t="s">
        <v>20</v>
      </c>
      <c r="B944" s="143" t="s">
        <v>21</v>
      </c>
      <c r="C944" s="38"/>
      <c r="D944" s="38"/>
      <c r="E944" s="38"/>
      <c r="F944" s="38"/>
      <c r="G944" s="38"/>
      <c r="H944" s="285"/>
      <c r="I944" s="287"/>
      <c r="J944" s="288"/>
    </row>
    <row r="945" spans="1:10" ht="10.5" customHeight="1" x14ac:dyDescent="0.3">
      <c r="A945" s="48"/>
      <c r="B945" s="40" t="s">
        <v>109</v>
      </c>
      <c r="C945" s="57">
        <f>107955.28</f>
        <v>107955.28</v>
      </c>
      <c r="D945" s="5">
        <v>1007512.27</v>
      </c>
      <c r="E945" s="71">
        <f>C945+D945-G945</f>
        <v>893940.60000000009</v>
      </c>
      <c r="F945" s="77"/>
      <c r="G945" s="57">
        <v>221526.95</v>
      </c>
      <c r="H945" s="285"/>
      <c r="I945" s="287"/>
      <c r="J945" s="288"/>
    </row>
    <row r="946" spans="1:10" ht="10.5" customHeight="1" x14ac:dyDescent="0.3">
      <c r="A946" s="39"/>
      <c r="B946" s="138" t="s">
        <v>118</v>
      </c>
      <c r="C946" s="57">
        <f>D946/12</f>
        <v>956.63583333333327</v>
      </c>
      <c r="D946" s="5">
        <v>11479.63</v>
      </c>
      <c r="E946" s="71">
        <f>C946+D946-G946</f>
        <v>11403.099133333333</v>
      </c>
      <c r="F946" s="77"/>
      <c r="G946" s="57">
        <f>D946*9%</f>
        <v>1033.1667</v>
      </c>
      <c r="H946" s="285"/>
      <c r="I946" s="287"/>
      <c r="J946" s="288"/>
    </row>
    <row r="947" spans="1:10" ht="10.5" customHeight="1" x14ac:dyDescent="0.3">
      <c r="A947" s="39"/>
      <c r="B947" s="135" t="s">
        <v>23</v>
      </c>
      <c r="C947" s="104">
        <f>SUM(C945:C946)</f>
        <v>108911.91583333333</v>
      </c>
      <c r="D947" s="104">
        <f>SUM(D945:D946)</f>
        <v>1018991.9</v>
      </c>
      <c r="E947" s="104">
        <f>SUM(E945:E946)</f>
        <v>905343.6991333334</v>
      </c>
      <c r="F947" s="104"/>
      <c r="G947" s="104">
        <f>SUM(G945:G946)</f>
        <v>222560.11670000001</v>
      </c>
      <c r="H947" s="285"/>
      <c r="I947" s="287"/>
      <c r="J947" s="288"/>
    </row>
    <row r="948" spans="1:10" ht="10.5" customHeight="1" x14ac:dyDescent="0.3">
      <c r="A948" s="39"/>
      <c r="B948" s="138"/>
      <c r="C948" s="57"/>
      <c r="D948" s="5"/>
      <c r="E948" s="71"/>
      <c r="F948" s="77"/>
      <c r="G948" s="57"/>
      <c r="H948" s="285"/>
      <c r="I948" s="287"/>
      <c r="J948" s="288"/>
    </row>
    <row r="949" spans="1:10" ht="10.5" customHeight="1" x14ac:dyDescent="0.3">
      <c r="A949" s="49"/>
      <c r="B949" s="40" t="s">
        <v>107</v>
      </c>
      <c r="C949" s="71">
        <f>10424.64+56123.82+1750.66-56.74</f>
        <v>68242.37999999999</v>
      </c>
      <c r="D949" s="5">
        <v>390736.96</v>
      </c>
      <c r="E949" s="71">
        <f>C949+D949-G949</f>
        <v>351862.98000000004</v>
      </c>
      <c r="F949" s="77"/>
      <c r="G949" s="71">
        <f>7742.34+88603.88+10770.14+0</f>
        <v>107116.36</v>
      </c>
      <c r="H949" s="285"/>
      <c r="I949" s="287"/>
      <c r="J949" s="288"/>
    </row>
    <row r="950" spans="1:10" ht="10.5" customHeight="1" x14ac:dyDescent="0.3">
      <c r="A950" s="49"/>
      <c r="B950" s="138" t="s">
        <v>117</v>
      </c>
      <c r="C950" s="71">
        <f>D950/12</f>
        <v>426.49083333333334</v>
      </c>
      <c r="D950" s="5">
        <v>5117.8900000000003</v>
      </c>
      <c r="E950" s="71">
        <f>C950+D950-G950</f>
        <v>5083.7707333333337</v>
      </c>
      <c r="F950" s="77"/>
      <c r="G950" s="71">
        <f>D950*9%</f>
        <v>460.61009999999999</v>
      </c>
      <c r="H950" s="285"/>
      <c r="I950" s="287"/>
      <c r="J950" s="288"/>
    </row>
    <row r="951" spans="1:10" ht="10.5" customHeight="1" x14ac:dyDescent="0.3">
      <c r="A951" s="49"/>
      <c r="B951" s="135" t="s">
        <v>23</v>
      </c>
      <c r="C951" s="50">
        <f>SUM(C949:C950)</f>
        <v>68668.87083333332</v>
      </c>
      <c r="D951" s="50">
        <f>SUM(D949:D950)</f>
        <v>395854.85000000003</v>
      </c>
      <c r="E951" s="50">
        <f>SUM(E949:E950)</f>
        <v>356946.75073333335</v>
      </c>
      <c r="F951" s="148"/>
      <c r="G951" s="50">
        <f>SUM(G949:G950)</f>
        <v>107576.97010000001</v>
      </c>
      <c r="H951" s="285"/>
      <c r="I951" s="287"/>
      <c r="J951" s="288"/>
    </row>
    <row r="952" spans="1:10" ht="10.5" customHeight="1" x14ac:dyDescent="0.3">
      <c r="A952" s="49"/>
      <c r="B952" s="135"/>
      <c r="C952" s="50"/>
      <c r="D952" s="50"/>
      <c r="E952" s="50"/>
      <c r="F952" s="50"/>
      <c r="G952" s="50"/>
      <c r="H952" s="285"/>
      <c r="I952" s="287"/>
      <c r="J952" s="288"/>
    </row>
    <row r="953" spans="1:10" ht="10.5" customHeight="1" x14ac:dyDescent="0.3">
      <c r="A953" s="49"/>
      <c r="B953" s="135" t="s">
        <v>79</v>
      </c>
      <c r="C953" s="50">
        <f>C951+C947</f>
        <v>177580.78666666665</v>
      </c>
      <c r="D953" s="50">
        <f>D951+D947</f>
        <v>1414846.75</v>
      </c>
      <c r="E953" s="50">
        <f>E951+E947</f>
        <v>1262290.4498666667</v>
      </c>
      <c r="F953" s="50">
        <f>D953</f>
        <v>1414846.75</v>
      </c>
      <c r="G953" s="50">
        <f>G951+G947</f>
        <v>330137.08680000005</v>
      </c>
      <c r="H953" s="285"/>
      <c r="I953" s="287"/>
      <c r="J953" s="288"/>
    </row>
    <row r="954" spans="1:10" ht="10.5" customHeight="1" x14ac:dyDescent="0.3">
      <c r="A954" s="101" t="s">
        <v>26</v>
      </c>
      <c r="B954" s="137" t="s">
        <v>29</v>
      </c>
      <c r="C954" s="5"/>
      <c r="D954" s="5"/>
      <c r="E954" s="5"/>
      <c r="F954" s="5"/>
      <c r="G954" s="5"/>
      <c r="H954" s="285"/>
      <c r="I954" s="287"/>
      <c r="J954" s="288"/>
    </row>
    <row r="955" spans="1:10" ht="10.5" customHeight="1" x14ac:dyDescent="0.3">
      <c r="A955" s="101"/>
      <c r="B955" s="40" t="s">
        <v>31</v>
      </c>
      <c r="C955" s="43">
        <f>70876.36+42166.55</f>
        <v>113042.91</v>
      </c>
      <c r="D955" s="5">
        <v>619336.28</v>
      </c>
      <c r="E955" s="5">
        <f>C955+D955-G955</f>
        <v>559410.81000000006</v>
      </c>
      <c r="F955" s="5"/>
      <c r="G955" s="5">
        <f>108274.93+64693.45</f>
        <v>172968.38</v>
      </c>
      <c r="H955" s="285"/>
      <c r="I955" s="287"/>
      <c r="J955" s="288"/>
    </row>
    <row r="956" spans="1:10" ht="10.5" customHeight="1" x14ac:dyDescent="0.3">
      <c r="A956" s="39"/>
      <c r="B956" s="40" t="s">
        <v>32</v>
      </c>
      <c r="C956" s="43">
        <f>D956/12</f>
        <v>553.74333333333334</v>
      </c>
      <c r="D956" s="14">
        <f>3939.77+2705.15</f>
        <v>6644.92</v>
      </c>
      <c r="E956" s="14">
        <f>C956+D956-G956</f>
        <v>6600.6205333333337</v>
      </c>
      <c r="F956" s="5"/>
      <c r="G956" s="5">
        <f>D956*9%</f>
        <v>598.04279999999994</v>
      </c>
      <c r="H956" s="285"/>
      <c r="I956" s="287"/>
      <c r="J956" s="288"/>
    </row>
    <row r="957" spans="1:10" ht="10.5" customHeight="1" x14ac:dyDescent="0.3">
      <c r="A957" s="39"/>
      <c r="B957" s="135" t="s">
        <v>23</v>
      </c>
      <c r="C957" s="58">
        <f>SUM(C955:C956)</f>
        <v>113596.65333333334</v>
      </c>
      <c r="D957" s="50">
        <f>SUM(D955:D956)</f>
        <v>625981.20000000007</v>
      </c>
      <c r="E957" s="50">
        <f>SUM(E955:E956)</f>
        <v>566011.43053333333</v>
      </c>
      <c r="F957" s="50">
        <f>D957</f>
        <v>625981.20000000007</v>
      </c>
      <c r="G957" s="50">
        <f>SUM(G955:G956)</f>
        <v>173566.4228</v>
      </c>
      <c r="H957" s="285"/>
      <c r="I957" s="287"/>
      <c r="J957" s="288"/>
    </row>
    <row r="958" spans="1:10" ht="10.5" customHeight="1" x14ac:dyDescent="0.3">
      <c r="A958" s="101"/>
      <c r="B958" s="145"/>
      <c r="C958" s="5"/>
      <c r="D958" s="13"/>
      <c r="E958" s="5"/>
      <c r="F958" s="5"/>
      <c r="G958" s="5"/>
      <c r="H958" s="285"/>
      <c r="I958" s="287"/>
      <c r="J958" s="288"/>
    </row>
    <row r="959" spans="1:10" ht="10.5" customHeight="1" x14ac:dyDescent="0.3">
      <c r="A959" s="101">
        <v>3</v>
      </c>
      <c r="B959" s="145" t="s">
        <v>125</v>
      </c>
      <c r="C959" s="5">
        <v>5261.25</v>
      </c>
      <c r="D959" s="13">
        <v>47781.599999999999</v>
      </c>
      <c r="E959" s="5">
        <f>C959+D959-G959</f>
        <v>44819.32</v>
      </c>
      <c r="F959" s="5"/>
      <c r="G959" s="5">
        <v>8223.5300000000007</v>
      </c>
      <c r="H959" s="285"/>
      <c r="I959" s="287"/>
      <c r="J959" s="288"/>
    </row>
    <row r="960" spans="1:10" ht="10.5" customHeight="1" x14ac:dyDescent="0.3">
      <c r="A960" s="1"/>
      <c r="B960" s="282" t="s">
        <v>117</v>
      </c>
      <c r="C960" s="17">
        <v>45.96</v>
      </c>
      <c r="D960" s="107">
        <v>562.66</v>
      </c>
      <c r="E960" s="17">
        <f>C960+D960-G960</f>
        <v>560.79999999999995</v>
      </c>
      <c r="F960" s="17"/>
      <c r="G960" s="17">
        <v>47.82</v>
      </c>
      <c r="H960" s="285"/>
      <c r="I960" s="287"/>
      <c r="J960" s="288"/>
    </row>
    <row r="961" spans="1:10" ht="10.5" customHeight="1" x14ac:dyDescent="0.3">
      <c r="A961" s="1"/>
      <c r="B961" s="135" t="s">
        <v>23</v>
      </c>
      <c r="C961" s="7">
        <f>SUM(C959:C960)</f>
        <v>5307.21</v>
      </c>
      <c r="D961" s="7">
        <f t="shared" ref="D961:G961" si="14">SUM(D959:D960)</f>
        <v>48344.26</v>
      </c>
      <c r="E961" s="7">
        <f t="shared" si="14"/>
        <v>45380.12</v>
      </c>
      <c r="F961" s="7">
        <f>D961</f>
        <v>48344.26</v>
      </c>
      <c r="G961" s="7">
        <f t="shared" si="14"/>
        <v>8271.35</v>
      </c>
      <c r="H961" s="285"/>
      <c r="I961" s="287"/>
      <c r="J961" s="288"/>
    </row>
    <row r="962" spans="1:10" ht="10.5" customHeight="1" x14ac:dyDescent="0.3">
      <c r="A962" s="1"/>
      <c r="B962" s="201"/>
      <c r="C962" s="7"/>
      <c r="D962" s="21"/>
      <c r="E962" s="7"/>
      <c r="F962" s="7"/>
      <c r="G962" s="7"/>
      <c r="H962" s="285"/>
      <c r="I962" s="287"/>
      <c r="J962" s="288"/>
    </row>
    <row r="963" spans="1:10" ht="10.5" customHeight="1" x14ac:dyDescent="0.3">
      <c r="A963" s="180"/>
      <c r="B963" s="94" t="s">
        <v>74</v>
      </c>
      <c r="C963" s="91">
        <f>C961+C957+C953</f>
        <v>296484.65000000002</v>
      </c>
      <c r="D963" s="91">
        <f t="shared" ref="D963:G963" si="15">D961+D957+D953</f>
        <v>2089172.21</v>
      </c>
      <c r="E963" s="91">
        <f t="shared" si="15"/>
        <v>1873682.0004</v>
      </c>
      <c r="F963" s="91">
        <f t="shared" si="15"/>
        <v>2089172.21</v>
      </c>
      <c r="G963" s="91">
        <f t="shared" si="15"/>
        <v>511974.85960000008</v>
      </c>
      <c r="H963" s="285"/>
      <c r="I963" s="287"/>
      <c r="J963" s="288"/>
    </row>
    <row r="964" spans="1:10" ht="11.1" customHeight="1" x14ac:dyDescent="0.3">
      <c r="A964" s="148"/>
      <c r="B964" s="148"/>
      <c r="C964" s="148"/>
      <c r="D964" s="148"/>
      <c r="E964" s="148"/>
      <c r="F964" s="148"/>
      <c r="G964" s="148"/>
      <c r="H964" s="285"/>
      <c r="I964" s="287"/>
      <c r="J964" s="288"/>
    </row>
    <row r="965" spans="1:10" ht="11.1" customHeight="1" x14ac:dyDescent="0.3">
      <c r="A965" s="305" t="s">
        <v>6</v>
      </c>
      <c r="B965" s="305"/>
      <c r="C965" s="305"/>
      <c r="D965" s="305"/>
      <c r="E965" s="305"/>
      <c r="F965" s="305"/>
      <c r="G965" s="305"/>
      <c r="H965" s="285"/>
      <c r="I965" s="287"/>
      <c r="J965" s="288"/>
    </row>
    <row r="966" spans="1:10" ht="11.1" customHeight="1" x14ac:dyDescent="0.3">
      <c r="A966" s="305" t="s">
        <v>35</v>
      </c>
      <c r="B966" s="305"/>
      <c r="C966" s="305"/>
      <c r="D966" s="305"/>
      <c r="E966" s="305"/>
      <c r="F966" s="305"/>
      <c r="G966" s="305"/>
      <c r="H966" s="285"/>
      <c r="I966" s="287"/>
      <c r="J966" s="288"/>
    </row>
    <row r="967" spans="1:10" ht="11.1" customHeight="1" x14ac:dyDescent="0.3">
      <c r="A967" s="311" t="s">
        <v>36</v>
      </c>
      <c r="B967" s="311"/>
      <c r="C967" s="311"/>
      <c r="D967" s="311"/>
      <c r="E967" s="311"/>
      <c r="F967" s="311"/>
      <c r="G967" s="311"/>
      <c r="H967" s="285"/>
      <c r="I967" s="287"/>
      <c r="J967" s="288"/>
    </row>
    <row r="968" spans="1:10" ht="11.1" customHeight="1" x14ac:dyDescent="0.3">
      <c r="A968" s="312" t="s">
        <v>58</v>
      </c>
      <c r="B968" s="313"/>
      <c r="C968" s="313"/>
      <c r="D968" s="313"/>
      <c r="E968" s="313"/>
      <c r="F968" s="313"/>
      <c r="G968" s="314"/>
      <c r="H968" s="285"/>
      <c r="I968" s="287"/>
      <c r="J968" s="288"/>
    </row>
    <row r="969" spans="1:10" ht="11.1" customHeight="1" x14ac:dyDescent="0.3">
      <c r="A969" s="25"/>
      <c r="B969" s="292" t="s">
        <v>3</v>
      </c>
      <c r="C969" s="293"/>
      <c r="D969" s="293"/>
      <c r="E969" s="293"/>
      <c r="F969" s="293"/>
      <c r="G969" s="294"/>
      <c r="H969" s="285"/>
      <c r="I969" s="287"/>
      <c r="J969" s="288"/>
    </row>
    <row r="970" spans="1:10" ht="11.1" customHeight="1" x14ac:dyDescent="0.3">
      <c r="A970" s="26">
        <v>1</v>
      </c>
      <c r="B970" s="295" t="s">
        <v>4</v>
      </c>
      <c r="C970" s="296"/>
      <c r="D970" s="296"/>
      <c r="E970" s="297"/>
      <c r="F970" s="298">
        <v>1972</v>
      </c>
      <c r="G970" s="299"/>
      <c r="H970" s="285"/>
      <c r="I970" s="287"/>
      <c r="J970" s="288"/>
    </row>
    <row r="971" spans="1:10" ht="11.1" customHeight="1" x14ac:dyDescent="0.3">
      <c r="A971" s="27">
        <v>2</v>
      </c>
      <c r="B971" s="300" t="s">
        <v>12</v>
      </c>
      <c r="C971" s="301"/>
      <c r="D971" s="301"/>
      <c r="E971" s="302"/>
      <c r="F971" s="303">
        <v>5</v>
      </c>
      <c r="G971" s="304"/>
      <c r="H971" s="285"/>
      <c r="I971" s="287"/>
      <c r="J971" s="288"/>
    </row>
    <row r="972" spans="1:10" ht="11.1" customHeight="1" x14ac:dyDescent="0.3">
      <c r="A972" s="27">
        <v>3</v>
      </c>
      <c r="B972" s="300" t="s">
        <v>14</v>
      </c>
      <c r="C972" s="301"/>
      <c r="D972" s="301"/>
      <c r="E972" s="302"/>
      <c r="F972" s="303">
        <v>4</v>
      </c>
      <c r="G972" s="304"/>
      <c r="H972" s="285"/>
      <c r="I972" s="287"/>
      <c r="J972" s="288"/>
    </row>
    <row r="973" spans="1:10" ht="11.1" customHeight="1" x14ac:dyDescent="0.3">
      <c r="A973" s="27">
        <v>4</v>
      </c>
      <c r="B973" s="300" t="s">
        <v>13</v>
      </c>
      <c r="C973" s="301"/>
      <c r="D973" s="301"/>
      <c r="E973" s="302"/>
      <c r="F973" s="303">
        <v>70</v>
      </c>
      <c r="G973" s="304"/>
      <c r="H973" s="285"/>
      <c r="I973" s="287"/>
      <c r="J973" s="288"/>
    </row>
    <row r="974" spans="1:10" ht="11.1" customHeight="1" x14ac:dyDescent="0.3">
      <c r="A974" s="27">
        <v>5</v>
      </c>
      <c r="B974" s="300" t="s">
        <v>10</v>
      </c>
      <c r="C974" s="301"/>
      <c r="D974" s="301"/>
      <c r="E974" s="302"/>
      <c r="F974" s="303">
        <v>268.10000000000002</v>
      </c>
      <c r="G974" s="304"/>
      <c r="H974" s="285"/>
      <c r="I974" s="287"/>
      <c r="J974" s="288"/>
    </row>
    <row r="975" spans="1:10" ht="11.1" customHeight="1" x14ac:dyDescent="0.3">
      <c r="A975" s="27">
        <v>6</v>
      </c>
      <c r="B975" s="300" t="s">
        <v>11</v>
      </c>
      <c r="C975" s="301"/>
      <c r="D975" s="301"/>
      <c r="E975" s="302"/>
      <c r="F975" s="303">
        <v>3356.61</v>
      </c>
      <c r="G975" s="304"/>
      <c r="H975" s="285"/>
      <c r="I975" s="287"/>
      <c r="J975" s="288"/>
    </row>
    <row r="976" spans="1:10" ht="11.1" customHeight="1" x14ac:dyDescent="0.3">
      <c r="A976" s="28">
        <v>7</v>
      </c>
      <c r="B976" s="306" t="s">
        <v>9</v>
      </c>
      <c r="C976" s="307"/>
      <c r="D976" s="307"/>
      <c r="E976" s="308"/>
      <c r="F976" s="309">
        <v>0</v>
      </c>
      <c r="G976" s="310"/>
      <c r="H976" s="285"/>
      <c r="I976" s="287"/>
      <c r="J976" s="288"/>
    </row>
    <row r="977" spans="1:10" ht="11.1" customHeight="1" x14ac:dyDescent="0.3">
      <c r="A977" s="255"/>
      <c r="B977" s="251"/>
      <c r="C977" s="251"/>
      <c r="D977" s="251"/>
      <c r="E977" s="251"/>
      <c r="F977" s="256"/>
      <c r="G977" s="250"/>
      <c r="H977" s="285"/>
      <c r="I977" s="287"/>
      <c r="J977" s="288"/>
    </row>
    <row r="978" spans="1:10" ht="11.1" customHeight="1" x14ac:dyDescent="0.3">
      <c r="A978" s="315" t="s">
        <v>99</v>
      </c>
      <c r="B978" s="316"/>
      <c r="C978" s="316"/>
      <c r="D978" s="316"/>
      <c r="E978" s="316"/>
      <c r="F978" s="316"/>
      <c r="G978" s="317"/>
      <c r="H978" s="285"/>
      <c r="I978" s="287"/>
      <c r="J978" s="288"/>
    </row>
    <row r="979" spans="1:10" ht="11.1" customHeight="1" x14ac:dyDescent="0.3">
      <c r="A979" s="29"/>
      <c r="B979" s="30"/>
      <c r="C979" s="29" t="s">
        <v>19</v>
      </c>
      <c r="D979" s="29"/>
      <c r="E979" s="29"/>
      <c r="F979" s="31"/>
      <c r="G979" s="29" t="s">
        <v>19</v>
      </c>
      <c r="H979" s="285"/>
      <c r="I979" s="287"/>
      <c r="J979" s="288"/>
    </row>
    <row r="980" spans="1:10" ht="11.1" customHeight="1" x14ac:dyDescent="0.3">
      <c r="A980" s="24"/>
      <c r="B980" s="2" t="s">
        <v>1</v>
      </c>
      <c r="C980" s="24" t="s">
        <v>28</v>
      </c>
      <c r="D980" s="24" t="s">
        <v>2</v>
      </c>
      <c r="E980" s="24" t="s">
        <v>16</v>
      </c>
      <c r="F980" s="32" t="s">
        <v>27</v>
      </c>
      <c r="G980" s="24" t="s">
        <v>28</v>
      </c>
      <c r="H980" s="285"/>
      <c r="I980" s="287"/>
      <c r="J980" s="288"/>
    </row>
    <row r="981" spans="1:10" ht="11.1" customHeight="1" x14ac:dyDescent="0.3">
      <c r="A981" s="33"/>
      <c r="B981" s="129"/>
      <c r="C981" s="33" t="s">
        <v>24</v>
      </c>
      <c r="D981" s="33"/>
      <c r="E981" s="34"/>
      <c r="F981" s="35"/>
      <c r="G981" s="33" t="s">
        <v>30</v>
      </c>
      <c r="H981" s="285"/>
      <c r="I981" s="287"/>
      <c r="J981" s="288"/>
    </row>
    <row r="982" spans="1:10" ht="11.1" customHeight="1" x14ac:dyDescent="0.3">
      <c r="A982" s="37" t="s">
        <v>20</v>
      </c>
      <c r="B982" s="131" t="s">
        <v>33</v>
      </c>
      <c r="C982" s="42"/>
      <c r="D982" s="42"/>
      <c r="E982" s="38"/>
      <c r="F982" s="38"/>
      <c r="G982" s="38"/>
      <c r="H982" s="285"/>
      <c r="I982" s="287"/>
      <c r="J982" s="288"/>
    </row>
    <row r="983" spans="1:10" ht="11.1" customHeight="1" x14ac:dyDescent="0.3">
      <c r="A983" s="101"/>
      <c r="B983" s="132" t="s">
        <v>7</v>
      </c>
      <c r="C983" s="39">
        <v>92371.89</v>
      </c>
      <c r="D983" s="5">
        <v>323486.21000000002</v>
      </c>
      <c r="E983" s="5">
        <f>C983+D983-G983</f>
        <v>329075.85000000003</v>
      </c>
      <c r="F983" s="5"/>
      <c r="G983" s="5">
        <f>99577.04-12794.79</f>
        <v>86782.25</v>
      </c>
      <c r="H983" s="285"/>
      <c r="I983" s="287"/>
      <c r="J983" s="288"/>
    </row>
    <row r="984" spans="1:10" ht="11.1" customHeight="1" x14ac:dyDescent="0.3">
      <c r="A984" s="101"/>
      <c r="B984" s="132" t="s">
        <v>17</v>
      </c>
      <c r="C984" s="39">
        <f>D984/12</f>
        <v>480</v>
      </c>
      <c r="D984" s="5">
        <v>5760</v>
      </c>
      <c r="E984" s="5">
        <f>C984+D984-G984</f>
        <v>5721.6</v>
      </c>
      <c r="F984" s="5"/>
      <c r="G984" s="5">
        <f>D984*9%</f>
        <v>518.4</v>
      </c>
      <c r="H984" s="285"/>
      <c r="I984" s="287"/>
      <c r="J984" s="288"/>
    </row>
    <row r="985" spans="1:10" ht="11.1" customHeight="1" x14ac:dyDescent="0.3">
      <c r="A985" s="101"/>
      <c r="B985" s="135" t="s">
        <v>23</v>
      </c>
      <c r="C985" s="101">
        <f>SUM(C983:C984)</f>
        <v>92851.89</v>
      </c>
      <c r="D985" s="50">
        <f>SUM(D983:D984)</f>
        <v>329246.21000000002</v>
      </c>
      <c r="E985" s="50">
        <f>SUM(E983:E984)</f>
        <v>334797.45</v>
      </c>
      <c r="F985" s="50">
        <f>D985+6359.44</f>
        <v>335605.65</v>
      </c>
      <c r="G985" s="50">
        <f>SUM(G983:G984)</f>
        <v>87300.65</v>
      </c>
      <c r="H985" s="285"/>
      <c r="I985" s="287"/>
      <c r="J985" s="288"/>
    </row>
    <row r="986" spans="1:10" ht="11.1" customHeight="1" x14ac:dyDescent="0.3">
      <c r="A986" s="101"/>
      <c r="B986" s="135"/>
      <c r="C986" s="39"/>
      <c r="D986" s="5"/>
      <c r="E986" s="5"/>
      <c r="F986" s="5"/>
      <c r="G986" s="5"/>
      <c r="H986" s="285"/>
      <c r="I986" s="287"/>
      <c r="J986" s="288"/>
    </row>
    <row r="987" spans="1:10" ht="11.1" customHeight="1" x14ac:dyDescent="0.3">
      <c r="A987" s="39">
        <v>2</v>
      </c>
      <c r="B987" s="152" t="s">
        <v>34</v>
      </c>
      <c r="C987" s="75">
        <v>0</v>
      </c>
      <c r="D987" s="50">
        <v>123847.78</v>
      </c>
      <c r="E987" s="50">
        <f>D987-G987</f>
        <v>103275.86</v>
      </c>
      <c r="F987" s="50">
        <f>D987</f>
        <v>123847.78</v>
      </c>
      <c r="G987" s="50">
        <f>12794.79+7483.6+293.53</f>
        <v>20571.919999999998</v>
      </c>
      <c r="H987" s="285"/>
      <c r="I987" s="287"/>
      <c r="J987" s="288"/>
    </row>
    <row r="988" spans="1:10" ht="11.1" customHeight="1" x14ac:dyDescent="0.3">
      <c r="A988" s="40"/>
      <c r="B988" s="40"/>
      <c r="C988" s="40"/>
      <c r="D988" s="40"/>
      <c r="E988" s="40"/>
      <c r="F988" s="5"/>
      <c r="G988" s="5"/>
      <c r="H988" s="285"/>
      <c r="I988" s="287"/>
      <c r="J988" s="288"/>
    </row>
    <row r="989" spans="1:10" ht="11.1" customHeight="1" x14ac:dyDescent="0.3">
      <c r="A989" s="79" t="s">
        <v>22</v>
      </c>
      <c r="B989" s="182" t="s">
        <v>50</v>
      </c>
      <c r="C989" s="80">
        <v>73853.070000000007</v>
      </c>
      <c r="D989" s="80">
        <v>260185.7</v>
      </c>
      <c r="E989" s="80">
        <f>C989+D989-G989</f>
        <v>266241.42000000004</v>
      </c>
      <c r="F989" s="175">
        <v>216924.72</v>
      </c>
      <c r="G989" s="80">
        <f>75574.48-7483.6-293.53</f>
        <v>67797.349999999991</v>
      </c>
      <c r="H989" s="285"/>
      <c r="I989" s="287"/>
      <c r="J989" s="288"/>
    </row>
    <row r="990" spans="1:10" ht="11.1" customHeight="1" x14ac:dyDescent="0.3">
      <c r="A990" s="16"/>
      <c r="B990" s="202"/>
      <c r="C990" s="7"/>
      <c r="D990" s="7"/>
      <c r="E990" s="7"/>
      <c r="F990" s="175"/>
      <c r="G990" s="7"/>
      <c r="H990" s="285"/>
      <c r="I990" s="287"/>
      <c r="J990" s="288"/>
    </row>
    <row r="991" spans="1:10" ht="11.1" customHeight="1" x14ac:dyDescent="0.3">
      <c r="A991" s="81"/>
      <c r="B991" s="82" t="s">
        <v>74</v>
      </c>
      <c r="C991" s="90">
        <f>C989+C987+C985</f>
        <v>166704.96000000002</v>
      </c>
      <c r="D991" s="90">
        <f>D989+D987+D985</f>
        <v>713279.69</v>
      </c>
      <c r="E991" s="90">
        <f>E989+E987+E985</f>
        <v>704314.73</v>
      </c>
      <c r="F991" s="90">
        <f>F989+F987+F985</f>
        <v>676378.15</v>
      </c>
      <c r="G991" s="90">
        <f>G989+G987+G985</f>
        <v>175669.91999999998</v>
      </c>
      <c r="H991" s="285"/>
      <c r="I991" s="287"/>
      <c r="J991" s="288"/>
    </row>
    <row r="992" spans="1:10" ht="11.1" customHeight="1" x14ac:dyDescent="0.3">
      <c r="A992" s="130"/>
      <c r="B992" s="36"/>
      <c r="C992" s="30"/>
      <c r="D992" s="36"/>
      <c r="E992" s="36"/>
      <c r="F992" s="73"/>
      <c r="G992" s="74"/>
      <c r="H992" s="285"/>
      <c r="I992" s="287"/>
      <c r="J992" s="288"/>
    </row>
    <row r="993" spans="1:10" ht="11.1" customHeight="1" x14ac:dyDescent="0.3">
      <c r="A993" s="318" t="s">
        <v>18</v>
      </c>
      <c r="B993" s="319"/>
      <c r="C993" s="319"/>
      <c r="D993" s="319"/>
      <c r="E993" s="319"/>
      <c r="F993" s="319"/>
      <c r="G993" s="45"/>
      <c r="H993" s="285"/>
      <c r="I993" s="287"/>
      <c r="J993" s="288"/>
    </row>
    <row r="994" spans="1:10" ht="11.1" customHeight="1" x14ac:dyDescent="0.3">
      <c r="A994" s="1"/>
      <c r="B994" s="2"/>
      <c r="C994" s="29" t="s">
        <v>19</v>
      </c>
      <c r="D994" s="29"/>
      <c r="E994" s="29"/>
      <c r="F994" s="31"/>
      <c r="G994" s="29" t="s">
        <v>19</v>
      </c>
      <c r="H994" s="285"/>
      <c r="I994" s="287"/>
      <c r="J994" s="288"/>
    </row>
    <row r="995" spans="1:10" ht="11.1" customHeight="1" x14ac:dyDescent="0.3">
      <c r="A995" s="1" t="s">
        <v>15</v>
      </c>
      <c r="B995" s="2" t="s">
        <v>1</v>
      </c>
      <c r="C995" s="24" t="s">
        <v>28</v>
      </c>
      <c r="D995" s="24" t="s">
        <v>2</v>
      </c>
      <c r="E995" s="24" t="s">
        <v>16</v>
      </c>
      <c r="F995" s="32" t="s">
        <v>27</v>
      </c>
      <c r="G995" s="24" t="s">
        <v>28</v>
      </c>
      <c r="H995" s="285"/>
      <c r="I995" s="287"/>
      <c r="J995" s="288"/>
    </row>
    <row r="996" spans="1:10" ht="11.1" customHeight="1" x14ac:dyDescent="0.3">
      <c r="A996" s="1"/>
      <c r="B996" s="2"/>
      <c r="C996" s="33" t="s">
        <v>24</v>
      </c>
      <c r="D996" s="33"/>
      <c r="E996" s="34"/>
      <c r="F996" s="35"/>
      <c r="G996" s="33" t="s">
        <v>30</v>
      </c>
      <c r="H996" s="285"/>
      <c r="I996" s="287"/>
      <c r="J996" s="288"/>
    </row>
    <row r="997" spans="1:10" ht="11.1" customHeight="1" x14ac:dyDescent="0.3">
      <c r="A997" s="47" t="s">
        <v>20</v>
      </c>
      <c r="B997" s="143" t="s">
        <v>21</v>
      </c>
      <c r="C997" s="38"/>
      <c r="D997" s="38"/>
      <c r="E997" s="38"/>
      <c r="F997" s="38"/>
      <c r="G997" s="38"/>
      <c r="H997" s="285"/>
      <c r="I997" s="287"/>
      <c r="J997" s="288"/>
    </row>
    <row r="998" spans="1:10" ht="11.1" customHeight="1" x14ac:dyDescent="0.3">
      <c r="A998" s="48"/>
      <c r="B998" s="40" t="s">
        <v>91</v>
      </c>
      <c r="C998" s="57">
        <v>152258.12</v>
      </c>
      <c r="D998" s="5">
        <v>535616.64</v>
      </c>
      <c r="E998" s="71">
        <f>C998+D998-G998</f>
        <v>538224.92000000004</v>
      </c>
      <c r="F998" s="72">
        <v>503315.15</v>
      </c>
      <c r="G998" s="57">
        <v>149649.84</v>
      </c>
      <c r="H998" s="285"/>
      <c r="I998" s="287"/>
      <c r="J998" s="288"/>
    </row>
    <row r="999" spans="1:10" ht="11.1" customHeight="1" x14ac:dyDescent="0.3">
      <c r="A999" s="49"/>
      <c r="B999" s="138"/>
      <c r="C999" s="5"/>
      <c r="D999" s="14"/>
      <c r="E999" s="5"/>
      <c r="F999" s="196"/>
      <c r="G999" s="5"/>
      <c r="H999" s="285"/>
      <c r="I999" s="287"/>
      <c r="J999" s="288"/>
    </row>
    <row r="1000" spans="1:10" ht="11.1" customHeight="1" x14ac:dyDescent="0.3">
      <c r="A1000" s="39"/>
      <c r="B1000" s="134"/>
      <c r="C1000" s="50"/>
      <c r="D1000" s="5"/>
      <c r="E1000" s="5"/>
      <c r="F1000" s="5"/>
      <c r="G1000" s="5"/>
      <c r="H1000" s="285"/>
      <c r="I1000" s="287"/>
      <c r="J1000" s="288"/>
    </row>
    <row r="1001" spans="1:10" ht="11.1" customHeight="1" x14ac:dyDescent="0.3">
      <c r="A1001" s="101" t="s">
        <v>26</v>
      </c>
      <c r="B1001" s="137" t="s">
        <v>29</v>
      </c>
      <c r="C1001" s="5">
        <f>96132.72+54759.35</f>
        <v>150892.07</v>
      </c>
      <c r="D1001" s="5">
        <f>326498.48+160721.37</f>
        <v>487219.85</v>
      </c>
      <c r="E1001" s="5">
        <f>C1001+D1001-G1001</f>
        <v>481444.80999999994</v>
      </c>
      <c r="F1001" s="5">
        <f>D1001+33119.41</f>
        <v>520339.26</v>
      </c>
      <c r="G1001" s="5">
        <f>100496.96+56170.15</f>
        <v>156667.11000000002</v>
      </c>
      <c r="H1001" s="285"/>
      <c r="I1001" s="287"/>
      <c r="J1001" s="288"/>
    </row>
    <row r="1002" spans="1:10" ht="11.1" customHeight="1" x14ac:dyDescent="0.3">
      <c r="A1002" s="101"/>
      <c r="B1002" s="145"/>
      <c r="C1002" s="5"/>
      <c r="D1002" s="13"/>
      <c r="E1002" s="5"/>
      <c r="F1002" s="5"/>
      <c r="G1002" s="5"/>
      <c r="H1002" s="285"/>
      <c r="I1002" s="287"/>
      <c r="J1002" s="288"/>
    </row>
    <row r="1003" spans="1:10" ht="11.1" customHeight="1" x14ac:dyDescent="0.3">
      <c r="A1003" s="101">
        <v>3</v>
      </c>
      <c r="B1003" s="145" t="s">
        <v>5</v>
      </c>
      <c r="C1003" s="5">
        <v>5004.72</v>
      </c>
      <c r="D1003" s="13">
        <v>30659.18</v>
      </c>
      <c r="E1003" s="5">
        <f>C1003+D1003-G1003</f>
        <v>29726.22</v>
      </c>
      <c r="F1003" s="5">
        <f>D1003</f>
        <v>30659.18</v>
      </c>
      <c r="G1003" s="5">
        <v>5937.68</v>
      </c>
      <c r="H1003" s="285"/>
      <c r="I1003" s="287"/>
      <c r="J1003" s="288"/>
    </row>
    <row r="1004" spans="1:10" ht="11.1" customHeight="1" x14ac:dyDescent="0.3">
      <c r="A1004" s="180"/>
      <c r="B1004" s="94" t="s">
        <v>74</v>
      </c>
      <c r="C1004" s="91">
        <f>C1003+C1001+C998</f>
        <v>308154.91000000003</v>
      </c>
      <c r="D1004" s="91">
        <f>D1003+D1001+D998</f>
        <v>1053495.67</v>
      </c>
      <c r="E1004" s="91">
        <f>E1003+E1001+E998</f>
        <v>1049395.95</v>
      </c>
      <c r="F1004" s="91">
        <f>F1003+F1001+F998</f>
        <v>1054313.5900000001</v>
      </c>
      <c r="G1004" s="91">
        <f>G1003+G1001+G998</f>
        <v>312254.63</v>
      </c>
      <c r="H1004" s="285"/>
      <c r="I1004" s="287"/>
      <c r="J1004" s="288"/>
    </row>
    <row r="1005" spans="1:10" ht="11.1" customHeight="1" x14ac:dyDescent="0.3">
      <c r="A1005" s="148"/>
      <c r="B1005" s="148"/>
      <c r="C1005" s="148"/>
      <c r="D1005" s="148"/>
      <c r="E1005" s="148"/>
      <c r="F1005" s="148"/>
      <c r="G1005" s="148"/>
      <c r="H1005" s="285"/>
      <c r="I1005" s="287"/>
      <c r="J1005" s="288"/>
    </row>
    <row r="1006" spans="1:10" ht="11.1" customHeight="1" x14ac:dyDescent="0.3">
      <c r="A1006" s="148"/>
      <c r="B1006" s="148"/>
      <c r="C1006" s="148"/>
      <c r="D1006" s="148"/>
      <c r="E1006" s="148"/>
      <c r="F1006" s="148"/>
      <c r="G1006" s="148"/>
      <c r="H1006" s="285"/>
      <c r="I1006" s="287"/>
      <c r="J1006" s="288"/>
    </row>
    <row r="1007" spans="1:10" ht="11.1" customHeight="1" x14ac:dyDescent="0.3">
      <c r="A1007" s="148"/>
      <c r="B1007" s="148"/>
      <c r="C1007" s="148"/>
      <c r="D1007" s="148"/>
      <c r="E1007" s="148"/>
      <c r="F1007" s="148"/>
      <c r="G1007" s="148"/>
      <c r="H1007" s="285"/>
      <c r="I1007" s="287"/>
      <c r="J1007" s="288"/>
    </row>
    <row r="1008" spans="1:10" ht="11.1" customHeight="1" x14ac:dyDescent="0.3">
      <c r="A1008" s="148"/>
      <c r="B1008" s="148"/>
      <c r="C1008" s="148"/>
      <c r="D1008" s="148"/>
      <c r="E1008" s="148"/>
      <c r="F1008" s="148"/>
      <c r="G1008" s="148"/>
      <c r="H1008" s="285"/>
      <c r="I1008" s="287"/>
      <c r="J1008" s="288"/>
    </row>
    <row r="1009" spans="1:10" ht="11.1" customHeight="1" x14ac:dyDescent="0.3">
      <c r="A1009" s="148"/>
      <c r="B1009" s="148"/>
      <c r="C1009" s="148"/>
      <c r="D1009" s="148"/>
      <c r="E1009" s="148"/>
      <c r="F1009" s="148"/>
      <c r="G1009" s="148"/>
      <c r="H1009" s="285"/>
      <c r="I1009" s="287"/>
      <c r="J1009" s="288"/>
    </row>
    <row r="1010" spans="1:10" ht="11.1" customHeight="1" x14ac:dyDescent="0.3">
      <c r="A1010" s="148"/>
      <c r="B1010" s="148"/>
      <c r="C1010" s="148"/>
      <c r="D1010" s="148"/>
      <c r="E1010" s="148"/>
      <c r="F1010" s="148"/>
      <c r="G1010" s="148"/>
      <c r="H1010" s="285"/>
      <c r="I1010" s="287"/>
      <c r="J1010" s="288"/>
    </row>
    <row r="1011" spans="1:10" ht="11.1" customHeight="1" x14ac:dyDescent="0.3">
      <c r="A1011" s="148"/>
      <c r="B1011" s="148"/>
      <c r="C1011" s="148"/>
      <c r="D1011" s="148"/>
      <c r="E1011" s="148"/>
      <c r="F1011" s="148"/>
      <c r="G1011" s="148"/>
      <c r="H1011" s="285"/>
      <c r="I1011" s="287"/>
      <c r="J1011" s="288"/>
    </row>
    <row r="1012" spans="1:10" ht="11.1" customHeight="1" x14ac:dyDescent="0.3">
      <c r="A1012" s="148"/>
      <c r="B1012" s="148"/>
      <c r="C1012" s="148"/>
      <c r="D1012" s="148"/>
      <c r="E1012" s="148"/>
      <c r="F1012" s="148"/>
      <c r="G1012" s="148"/>
      <c r="H1012" s="285"/>
      <c r="I1012" s="287"/>
      <c r="J1012" s="288"/>
    </row>
    <row r="1013" spans="1:10" ht="11.1" customHeight="1" x14ac:dyDescent="0.3">
      <c r="A1013" s="148"/>
      <c r="B1013" s="148"/>
      <c r="C1013" s="148"/>
      <c r="D1013" s="148"/>
      <c r="E1013" s="148"/>
      <c r="F1013" s="148"/>
      <c r="G1013" s="148"/>
      <c r="H1013" s="285"/>
      <c r="I1013" s="287"/>
      <c r="J1013" s="288"/>
    </row>
    <row r="1014" spans="1:10" ht="11.1" customHeight="1" x14ac:dyDescent="0.3">
      <c r="A1014" s="148"/>
      <c r="B1014" s="148"/>
      <c r="C1014" s="148"/>
      <c r="D1014" s="148"/>
      <c r="E1014" s="148"/>
      <c r="F1014" s="148"/>
      <c r="G1014" s="148"/>
      <c r="H1014" s="285"/>
      <c r="I1014" s="287"/>
      <c r="J1014" s="288"/>
    </row>
    <row r="1015" spans="1:10" ht="11.1" customHeight="1" x14ac:dyDescent="0.3">
      <c r="A1015" s="148"/>
      <c r="B1015" s="148"/>
      <c r="C1015" s="148"/>
      <c r="D1015" s="148"/>
      <c r="E1015" s="148"/>
      <c r="F1015" s="148"/>
      <c r="G1015" s="148"/>
      <c r="H1015" s="285"/>
      <c r="I1015" s="287"/>
      <c r="J1015" s="288"/>
    </row>
    <row r="1016" spans="1:10" ht="11.1" customHeight="1" x14ac:dyDescent="0.3">
      <c r="A1016" s="148"/>
      <c r="B1016" s="148"/>
      <c r="C1016" s="148"/>
      <c r="D1016" s="148"/>
      <c r="E1016" s="148"/>
      <c r="F1016" s="148"/>
      <c r="G1016" s="148"/>
      <c r="H1016" s="285"/>
      <c r="I1016" s="287"/>
      <c r="J1016" s="288"/>
    </row>
    <row r="1017" spans="1:10" ht="11.1" customHeight="1" x14ac:dyDescent="0.3">
      <c r="A1017" s="305" t="s">
        <v>6</v>
      </c>
      <c r="B1017" s="305"/>
      <c r="C1017" s="305"/>
      <c r="D1017" s="305"/>
      <c r="E1017" s="305"/>
      <c r="F1017" s="305"/>
      <c r="G1017" s="305"/>
      <c r="H1017" s="285"/>
      <c r="I1017" s="287"/>
      <c r="J1017" s="288"/>
    </row>
    <row r="1018" spans="1:10" ht="11.1" customHeight="1" x14ac:dyDescent="0.3">
      <c r="A1018" s="305" t="s">
        <v>35</v>
      </c>
      <c r="B1018" s="305"/>
      <c r="C1018" s="305"/>
      <c r="D1018" s="305"/>
      <c r="E1018" s="305"/>
      <c r="F1018" s="305"/>
      <c r="G1018" s="305"/>
      <c r="H1018" s="285"/>
      <c r="I1018" s="287"/>
      <c r="J1018" s="288"/>
    </row>
    <row r="1019" spans="1:10" ht="11.1" customHeight="1" x14ac:dyDescent="0.3">
      <c r="A1019" s="311" t="s">
        <v>36</v>
      </c>
      <c r="B1019" s="311"/>
      <c r="C1019" s="311"/>
      <c r="D1019" s="311"/>
      <c r="E1019" s="311"/>
      <c r="F1019" s="311"/>
      <c r="G1019" s="311"/>
      <c r="H1019" s="285"/>
      <c r="I1019" s="287"/>
      <c r="J1019" s="288"/>
    </row>
    <row r="1020" spans="1:10" ht="11.1" customHeight="1" x14ac:dyDescent="0.3">
      <c r="A1020" s="312" t="s">
        <v>59</v>
      </c>
      <c r="B1020" s="313"/>
      <c r="C1020" s="313"/>
      <c r="D1020" s="313"/>
      <c r="E1020" s="313"/>
      <c r="F1020" s="313"/>
      <c r="G1020" s="314"/>
      <c r="H1020" s="285"/>
      <c r="I1020" s="287"/>
      <c r="J1020" s="288"/>
    </row>
    <row r="1021" spans="1:10" ht="11.1" customHeight="1" x14ac:dyDescent="0.3">
      <c r="A1021" s="25"/>
      <c r="B1021" s="292" t="s">
        <v>3</v>
      </c>
      <c r="C1021" s="293"/>
      <c r="D1021" s="293"/>
      <c r="E1021" s="293"/>
      <c r="F1021" s="293"/>
      <c r="G1021" s="294"/>
      <c r="H1021" s="285"/>
      <c r="I1021" s="287"/>
      <c r="J1021" s="288"/>
    </row>
    <row r="1022" spans="1:10" ht="11.1" customHeight="1" x14ac:dyDescent="0.3">
      <c r="A1022" s="26">
        <v>1</v>
      </c>
      <c r="B1022" s="295" t="s">
        <v>4</v>
      </c>
      <c r="C1022" s="296"/>
      <c r="D1022" s="296"/>
      <c r="E1022" s="297"/>
      <c r="F1022" s="298">
        <v>1988</v>
      </c>
      <c r="G1022" s="299"/>
      <c r="H1022" s="285"/>
      <c r="I1022" s="287"/>
      <c r="J1022" s="288"/>
    </row>
    <row r="1023" spans="1:10" ht="11.1" customHeight="1" x14ac:dyDescent="0.3">
      <c r="A1023" s="27">
        <v>2</v>
      </c>
      <c r="B1023" s="300" t="s">
        <v>12</v>
      </c>
      <c r="C1023" s="301"/>
      <c r="D1023" s="301"/>
      <c r="E1023" s="302"/>
      <c r="F1023" s="303">
        <v>9</v>
      </c>
      <c r="G1023" s="304"/>
      <c r="H1023" s="285"/>
      <c r="I1023" s="287"/>
      <c r="J1023" s="288"/>
    </row>
    <row r="1024" spans="1:10" ht="11.1" customHeight="1" x14ac:dyDescent="0.3">
      <c r="A1024" s="27">
        <v>3</v>
      </c>
      <c r="B1024" s="300" t="s">
        <v>14</v>
      </c>
      <c r="C1024" s="301"/>
      <c r="D1024" s="301"/>
      <c r="E1024" s="302"/>
      <c r="F1024" s="303">
        <v>4</v>
      </c>
      <c r="G1024" s="304"/>
      <c r="H1024" s="285"/>
      <c r="I1024" s="287"/>
      <c r="J1024" s="288"/>
    </row>
    <row r="1025" spans="1:10" ht="11.1" customHeight="1" x14ac:dyDescent="0.3">
      <c r="A1025" s="27">
        <v>4</v>
      </c>
      <c r="B1025" s="300" t="s">
        <v>13</v>
      </c>
      <c r="C1025" s="301"/>
      <c r="D1025" s="301"/>
      <c r="E1025" s="302"/>
      <c r="F1025" s="303">
        <v>144</v>
      </c>
      <c r="G1025" s="304"/>
      <c r="H1025" s="285"/>
      <c r="I1025" s="287"/>
      <c r="J1025" s="288"/>
    </row>
    <row r="1026" spans="1:10" ht="11.1" customHeight="1" x14ac:dyDescent="0.3">
      <c r="A1026" s="27">
        <v>5</v>
      </c>
      <c r="B1026" s="300" t="s">
        <v>10</v>
      </c>
      <c r="C1026" s="301"/>
      <c r="D1026" s="301"/>
      <c r="E1026" s="302"/>
      <c r="F1026" s="303">
        <v>1212.4000000000001</v>
      </c>
      <c r="G1026" s="304"/>
      <c r="H1026" s="285"/>
      <c r="I1026" s="287"/>
      <c r="J1026" s="288"/>
    </row>
    <row r="1027" spans="1:10" ht="11.1" customHeight="1" x14ac:dyDescent="0.3">
      <c r="A1027" s="27">
        <v>6</v>
      </c>
      <c r="B1027" s="300" t="s">
        <v>11</v>
      </c>
      <c r="C1027" s="301"/>
      <c r="D1027" s="301"/>
      <c r="E1027" s="302"/>
      <c r="F1027" s="303">
        <v>8237.2000000000007</v>
      </c>
      <c r="G1027" s="304"/>
      <c r="H1027" s="285"/>
      <c r="I1027" s="287"/>
      <c r="J1027" s="288"/>
    </row>
    <row r="1028" spans="1:10" ht="11.1" customHeight="1" x14ac:dyDescent="0.3">
      <c r="A1028" s="28">
        <v>7</v>
      </c>
      <c r="B1028" s="306" t="s">
        <v>96</v>
      </c>
      <c r="C1028" s="307"/>
      <c r="D1028" s="307"/>
      <c r="E1028" s="308"/>
      <c r="F1028" s="309">
        <v>421.5</v>
      </c>
      <c r="G1028" s="310"/>
      <c r="H1028" s="285"/>
      <c r="I1028" s="287"/>
      <c r="J1028" s="288"/>
    </row>
    <row r="1029" spans="1:10" ht="11.1" customHeight="1" x14ac:dyDescent="0.3">
      <c r="A1029" s="255"/>
      <c r="B1029" s="251"/>
      <c r="C1029" s="251"/>
      <c r="D1029" s="251"/>
      <c r="E1029" s="251"/>
      <c r="F1029" s="256"/>
      <c r="G1029" s="250"/>
      <c r="H1029" s="285"/>
      <c r="I1029" s="287"/>
      <c r="J1029" s="288"/>
    </row>
    <row r="1030" spans="1:10" ht="11.1" customHeight="1" x14ac:dyDescent="0.3">
      <c r="A1030" s="315" t="s">
        <v>99</v>
      </c>
      <c r="B1030" s="316"/>
      <c r="C1030" s="316"/>
      <c r="D1030" s="316"/>
      <c r="E1030" s="316"/>
      <c r="F1030" s="316"/>
      <c r="G1030" s="317"/>
      <c r="H1030" s="285"/>
      <c r="I1030" s="287"/>
      <c r="J1030" s="288"/>
    </row>
    <row r="1031" spans="1:10" ht="10.5" customHeight="1" x14ac:dyDescent="0.3">
      <c r="A1031" s="29"/>
      <c r="B1031" s="30"/>
      <c r="C1031" s="29" t="s">
        <v>19</v>
      </c>
      <c r="D1031" s="29"/>
      <c r="E1031" s="29"/>
      <c r="F1031" s="31"/>
      <c r="G1031" s="29" t="s">
        <v>19</v>
      </c>
      <c r="H1031" s="285"/>
      <c r="I1031" s="287"/>
      <c r="J1031" s="288"/>
    </row>
    <row r="1032" spans="1:10" ht="10.5" customHeight="1" x14ac:dyDescent="0.3">
      <c r="A1032" s="24"/>
      <c r="B1032" s="2" t="s">
        <v>1</v>
      </c>
      <c r="C1032" s="24" t="s">
        <v>28</v>
      </c>
      <c r="D1032" s="24" t="s">
        <v>2</v>
      </c>
      <c r="E1032" s="24" t="s">
        <v>16</v>
      </c>
      <c r="F1032" s="32" t="s">
        <v>27</v>
      </c>
      <c r="G1032" s="24" t="s">
        <v>28</v>
      </c>
      <c r="H1032" s="285"/>
      <c r="I1032" s="287"/>
      <c r="J1032" s="288"/>
    </row>
    <row r="1033" spans="1:10" ht="10.5" customHeight="1" x14ac:dyDescent="0.3">
      <c r="A1033" s="33"/>
      <c r="B1033" s="129"/>
      <c r="C1033" s="33" t="s">
        <v>24</v>
      </c>
      <c r="D1033" s="33"/>
      <c r="E1033" s="34"/>
      <c r="F1033" s="35"/>
      <c r="G1033" s="33" t="s">
        <v>30</v>
      </c>
      <c r="H1033" s="285"/>
      <c r="I1033" s="287"/>
      <c r="J1033" s="288"/>
    </row>
    <row r="1034" spans="1:10" ht="10.5" customHeight="1" x14ac:dyDescent="0.3">
      <c r="A1034" s="37" t="s">
        <v>20</v>
      </c>
      <c r="B1034" s="131" t="s">
        <v>33</v>
      </c>
      <c r="C1034" s="42"/>
      <c r="D1034" s="42"/>
      <c r="E1034" s="38"/>
      <c r="F1034" s="38"/>
      <c r="G1034" s="38"/>
      <c r="H1034" s="285"/>
      <c r="I1034" s="287"/>
      <c r="J1034" s="288"/>
    </row>
    <row r="1035" spans="1:10" ht="10.5" customHeight="1" x14ac:dyDescent="0.3">
      <c r="A1035" s="101"/>
      <c r="B1035" s="132" t="s">
        <v>7</v>
      </c>
      <c r="C1035" s="39">
        <v>263603.15999999997</v>
      </c>
      <c r="D1035" s="5">
        <v>1416858.33</v>
      </c>
      <c r="E1035" s="5">
        <f>C1035+D1035-G1035</f>
        <v>1435549.35</v>
      </c>
      <c r="F1035" s="5"/>
      <c r="G1035" s="5">
        <f>276245.83-31333.69</f>
        <v>244912.14</v>
      </c>
      <c r="H1035" s="285"/>
      <c r="I1035" s="287"/>
      <c r="J1035" s="288"/>
    </row>
    <row r="1036" spans="1:10" ht="10.5" customHeight="1" x14ac:dyDescent="0.3">
      <c r="A1036" s="101"/>
      <c r="B1036" s="132" t="s">
        <v>8</v>
      </c>
      <c r="C1036" s="133">
        <f>D1036/12</f>
        <v>1182.4616666666668</v>
      </c>
      <c r="D1036" s="5">
        <v>14189.54</v>
      </c>
      <c r="E1036" s="5">
        <f>C1036+D1036-G1036</f>
        <v>14094.943066666667</v>
      </c>
      <c r="F1036" s="5"/>
      <c r="G1036" s="5">
        <f>D1036*9%</f>
        <v>1277.0586000000001</v>
      </c>
      <c r="H1036" s="285"/>
      <c r="I1036" s="287"/>
      <c r="J1036" s="288"/>
    </row>
    <row r="1037" spans="1:10" ht="10.5" customHeight="1" x14ac:dyDescent="0.3">
      <c r="A1037" s="101"/>
      <c r="B1037" s="132" t="s">
        <v>17</v>
      </c>
      <c r="C1037" s="39">
        <f>D1037/12</f>
        <v>810</v>
      </c>
      <c r="D1037" s="5">
        <v>9720</v>
      </c>
      <c r="E1037" s="5">
        <f>C1037+D1037-G1037</f>
        <v>9655.2000000000007</v>
      </c>
      <c r="F1037" s="5"/>
      <c r="G1037" s="5">
        <f>D1037*9%</f>
        <v>874.8</v>
      </c>
      <c r="H1037" s="285"/>
      <c r="I1037" s="287"/>
      <c r="J1037" s="288"/>
    </row>
    <row r="1038" spans="1:10" ht="10.5" customHeight="1" x14ac:dyDescent="0.3">
      <c r="A1038" s="101"/>
      <c r="B1038" s="135" t="s">
        <v>23</v>
      </c>
      <c r="C1038" s="50">
        <f>SUM(C1035:C1037)</f>
        <v>265595.62166666664</v>
      </c>
      <c r="D1038" s="50">
        <f>SUM(D1035:D1037)</f>
        <v>1440767.87</v>
      </c>
      <c r="E1038" s="50">
        <f>SUM(E1035:E1037)</f>
        <v>1459299.4930666666</v>
      </c>
      <c r="F1038" s="50">
        <f>D1038+4282.25</f>
        <v>1445050.12</v>
      </c>
      <c r="G1038" s="50">
        <f>SUM(G1035:G1037)</f>
        <v>247063.99859999999</v>
      </c>
      <c r="H1038" s="285"/>
      <c r="I1038" s="287"/>
      <c r="J1038" s="288"/>
    </row>
    <row r="1039" spans="1:10" ht="10.5" customHeight="1" x14ac:dyDescent="0.3">
      <c r="A1039" s="101"/>
      <c r="B1039" s="135"/>
      <c r="C1039" s="39"/>
      <c r="D1039" s="5"/>
      <c r="E1039" s="5"/>
      <c r="F1039" s="5"/>
      <c r="G1039" s="5"/>
      <c r="H1039" s="285"/>
      <c r="I1039" s="287"/>
      <c r="J1039" s="288"/>
    </row>
    <row r="1040" spans="1:10" ht="10.5" customHeight="1" x14ac:dyDescent="0.3">
      <c r="A1040" s="39">
        <v>2</v>
      </c>
      <c r="B1040" s="152" t="s">
        <v>34</v>
      </c>
      <c r="C1040" s="75">
        <v>0</v>
      </c>
      <c r="D1040" s="50">
        <v>304692.96000000002</v>
      </c>
      <c r="E1040" s="50">
        <f>D1040-G1040</f>
        <v>257520.38</v>
      </c>
      <c r="F1040" s="50">
        <f>D1040</f>
        <v>304692.96000000002</v>
      </c>
      <c r="G1040" s="50">
        <f>31333.69+15394.78+444.11</f>
        <v>47172.58</v>
      </c>
      <c r="H1040" s="285"/>
      <c r="I1040" s="287"/>
      <c r="J1040" s="288"/>
    </row>
    <row r="1041" spans="1:10" ht="10.5" customHeight="1" x14ac:dyDescent="0.3">
      <c r="A1041" s="40"/>
      <c r="B1041" s="40"/>
      <c r="C1041" s="40"/>
      <c r="D1041" s="40"/>
      <c r="E1041" s="40"/>
      <c r="F1041" s="40"/>
      <c r="G1041" s="40"/>
      <c r="H1041" s="285"/>
      <c r="I1041" s="287"/>
      <c r="J1041" s="288"/>
    </row>
    <row r="1042" spans="1:10" ht="10.5" customHeight="1" x14ac:dyDescent="0.3">
      <c r="A1042" s="39" t="s">
        <v>22</v>
      </c>
      <c r="B1042" s="137" t="s">
        <v>106</v>
      </c>
      <c r="C1042" s="5">
        <v>118728.52</v>
      </c>
      <c r="D1042" s="5">
        <v>572195.13</v>
      </c>
      <c r="E1042" s="5">
        <f>C1042+D1042-G1042</f>
        <v>587173.51</v>
      </c>
      <c r="F1042" s="147"/>
      <c r="G1042" s="5">
        <f>119589.03-15394.78-444.11</f>
        <v>103750.14</v>
      </c>
      <c r="H1042" s="285"/>
      <c r="I1042" s="287"/>
      <c r="J1042" s="288"/>
    </row>
    <row r="1043" spans="1:10" ht="10.5" customHeight="1" x14ac:dyDescent="0.3">
      <c r="A1043" s="39"/>
      <c r="B1043" s="138" t="s">
        <v>37</v>
      </c>
      <c r="C1043" s="5">
        <f>D1043/12</f>
        <v>1424.2766666666666</v>
      </c>
      <c r="D1043" s="5">
        <v>17091.32</v>
      </c>
      <c r="E1043" s="5">
        <f>C1043+D1043-G1043</f>
        <v>16977.377866666666</v>
      </c>
      <c r="F1043" s="139"/>
      <c r="G1043" s="5">
        <f>D1043*9%</f>
        <v>1538.2187999999999</v>
      </c>
      <c r="H1043" s="285"/>
      <c r="I1043" s="287"/>
      <c r="J1043" s="288"/>
    </row>
    <row r="1044" spans="1:10" ht="10.5" customHeight="1" x14ac:dyDescent="0.3">
      <c r="A1044" s="79"/>
      <c r="B1044" s="140" t="s">
        <v>23</v>
      </c>
      <c r="C1044" s="80">
        <f>SUM(C1042:C1043)</f>
        <v>120152.79666666668</v>
      </c>
      <c r="D1044" s="80">
        <f>SUM(D1042:D1043)</f>
        <v>589286.44999999995</v>
      </c>
      <c r="E1044" s="80">
        <f>SUM(E1042:E1043)</f>
        <v>604150.88786666666</v>
      </c>
      <c r="F1044" s="186">
        <v>388631.58</v>
      </c>
      <c r="G1044" s="80">
        <f>SUM(G1042:G1043)</f>
        <v>105288.3588</v>
      </c>
      <c r="H1044" s="285"/>
      <c r="I1044" s="287"/>
      <c r="J1044" s="288"/>
    </row>
    <row r="1045" spans="1:10" ht="10.5" customHeight="1" x14ac:dyDescent="0.3">
      <c r="A1045" s="81"/>
      <c r="B1045" s="82" t="s">
        <v>74</v>
      </c>
      <c r="C1045" s="90">
        <f>C1044+C1040+C1038</f>
        <v>385748.41833333333</v>
      </c>
      <c r="D1045" s="90">
        <f>D1044+D1040+D1038</f>
        <v>2334747.2800000003</v>
      </c>
      <c r="E1045" s="90">
        <f>E1044+E1040+E1038</f>
        <v>2320970.7609333331</v>
      </c>
      <c r="F1045" s="90">
        <f>F1044+F1040+F1038</f>
        <v>2138374.66</v>
      </c>
      <c r="G1045" s="90">
        <f>G1044+G1040+G1038</f>
        <v>399524.9374</v>
      </c>
      <c r="H1045" s="285"/>
      <c r="I1045" s="287"/>
      <c r="J1045" s="288"/>
    </row>
    <row r="1046" spans="1:10" ht="10.5" customHeight="1" x14ac:dyDescent="0.3">
      <c r="A1046" s="130"/>
      <c r="B1046" s="36"/>
      <c r="C1046" s="30"/>
      <c r="D1046" s="36"/>
      <c r="E1046" s="36"/>
      <c r="F1046" s="36"/>
      <c r="G1046" s="44"/>
      <c r="H1046" s="285"/>
      <c r="I1046" s="287"/>
      <c r="J1046" s="288"/>
    </row>
    <row r="1047" spans="1:10" ht="10.5" customHeight="1" x14ac:dyDescent="0.3">
      <c r="A1047" s="318" t="s">
        <v>18</v>
      </c>
      <c r="B1047" s="319"/>
      <c r="C1047" s="319"/>
      <c r="D1047" s="319"/>
      <c r="E1047" s="319"/>
      <c r="F1047" s="319"/>
      <c r="G1047" s="45"/>
      <c r="H1047" s="285"/>
      <c r="I1047" s="287"/>
      <c r="J1047" s="288"/>
    </row>
    <row r="1048" spans="1:10" ht="10.5" customHeight="1" x14ac:dyDescent="0.3">
      <c r="A1048" s="1"/>
      <c r="B1048" s="2"/>
      <c r="C1048" s="29" t="s">
        <v>19</v>
      </c>
      <c r="D1048" s="29"/>
      <c r="E1048" s="29"/>
      <c r="F1048" s="31"/>
      <c r="G1048" s="29" t="s">
        <v>19</v>
      </c>
      <c r="H1048" s="285"/>
      <c r="I1048" s="287"/>
      <c r="J1048" s="288"/>
    </row>
    <row r="1049" spans="1:10" ht="10.5" customHeight="1" x14ac:dyDescent="0.3">
      <c r="A1049" s="1" t="s">
        <v>15</v>
      </c>
      <c r="B1049" s="2" t="s">
        <v>1</v>
      </c>
      <c r="C1049" s="24" t="s">
        <v>28</v>
      </c>
      <c r="D1049" s="24" t="s">
        <v>2</v>
      </c>
      <c r="E1049" s="24" t="s">
        <v>16</v>
      </c>
      <c r="F1049" s="32" t="s">
        <v>27</v>
      </c>
      <c r="G1049" s="24" t="s">
        <v>28</v>
      </c>
      <c r="H1049" s="285"/>
      <c r="I1049" s="287"/>
      <c r="J1049" s="288"/>
    </row>
    <row r="1050" spans="1:10" ht="10.5" customHeight="1" x14ac:dyDescent="0.3">
      <c r="A1050" s="1"/>
      <c r="B1050" s="2"/>
      <c r="C1050" s="33" t="s">
        <v>24</v>
      </c>
      <c r="D1050" s="33"/>
      <c r="E1050" s="34"/>
      <c r="F1050" s="35"/>
      <c r="G1050" s="33" t="s">
        <v>30</v>
      </c>
      <c r="H1050" s="285"/>
      <c r="I1050" s="287"/>
      <c r="J1050" s="288"/>
    </row>
    <row r="1051" spans="1:10" ht="10.5" customHeight="1" x14ac:dyDescent="0.3">
      <c r="A1051" s="47" t="s">
        <v>20</v>
      </c>
      <c r="B1051" s="143" t="s">
        <v>21</v>
      </c>
      <c r="C1051" s="38"/>
      <c r="D1051" s="38"/>
      <c r="E1051" s="38"/>
      <c r="F1051" s="38"/>
      <c r="G1051" s="38"/>
      <c r="H1051" s="285"/>
      <c r="I1051" s="287"/>
      <c r="J1051" s="288"/>
    </row>
    <row r="1052" spans="1:10" ht="10.5" customHeight="1" x14ac:dyDescent="0.3">
      <c r="A1052" s="48"/>
      <c r="B1052" s="40" t="s">
        <v>109</v>
      </c>
      <c r="C1052" s="57">
        <f>266826.81</f>
        <v>266826.81</v>
      </c>
      <c r="D1052" s="5">
        <f>1462463.29+28186.75</f>
        <v>1490650.04</v>
      </c>
      <c r="E1052" s="71">
        <f>C1052+D1052-G1052</f>
        <v>1456355.21</v>
      </c>
      <c r="F1052" s="77"/>
      <c r="G1052" s="57">
        <v>301121.64</v>
      </c>
      <c r="H1052" s="285"/>
      <c r="I1052" s="287"/>
      <c r="J1052" s="288"/>
    </row>
    <row r="1053" spans="1:10" ht="10.5" customHeight="1" x14ac:dyDescent="0.3">
      <c r="A1053" s="39"/>
      <c r="B1053" s="138" t="s">
        <v>117</v>
      </c>
      <c r="C1053" s="57">
        <f>D1053/142</f>
        <v>736.53492957746482</v>
      </c>
      <c r="D1053" s="5">
        <v>104587.96</v>
      </c>
      <c r="E1053" s="71">
        <f>C1053+D1053-G1053</f>
        <v>95911.578529577469</v>
      </c>
      <c r="F1053" s="77"/>
      <c r="G1053" s="197">
        <f>D1053*9%</f>
        <v>9412.9164000000001</v>
      </c>
      <c r="H1053" s="285"/>
      <c r="I1053" s="287"/>
      <c r="J1053" s="288"/>
    </row>
    <row r="1054" spans="1:10" ht="10.5" customHeight="1" x14ac:dyDescent="0.3">
      <c r="A1054" s="39"/>
      <c r="B1054" s="135" t="s">
        <v>23</v>
      </c>
      <c r="C1054" s="104">
        <f>SUM(C1052:C1053)</f>
        <v>267563.34492957743</v>
      </c>
      <c r="D1054" s="104">
        <f>SUM(D1052:D1053)</f>
        <v>1595238</v>
      </c>
      <c r="E1054" s="104">
        <f>SUM(E1052:E1053)</f>
        <v>1552266.7885295774</v>
      </c>
      <c r="F1054" s="104"/>
      <c r="G1054" s="104">
        <f>SUM(G1052:G1053)</f>
        <v>310534.5564</v>
      </c>
      <c r="H1054" s="285"/>
      <c r="I1054" s="287"/>
      <c r="J1054" s="288"/>
    </row>
    <row r="1055" spans="1:10" ht="10.5" customHeight="1" x14ac:dyDescent="0.3">
      <c r="A1055" s="39"/>
      <c r="B1055" s="138"/>
      <c r="C1055" s="57"/>
      <c r="D1055" s="5"/>
      <c r="E1055" s="71"/>
      <c r="F1055" s="77"/>
      <c r="G1055" s="198"/>
      <c r="H1055" s="285"/>
      <c r="I1055" s="287"/>
      <c r="J1055" s="288"/>
    </row>
    <row r="1056" spans="1:10" ht="10.5" customHeight="1" x14ac:dyDescent="0.3">
      <c r="A1056" s="49"/>
      <c r="B1056" s="40" t="s">
        <v>107</v>
      </c>
      <c r="C1056" s="71">
        <f>58552.33+100119.73+20639.34+106.94</f>
        <v>179418.34</v>
      </c>
      <c r="D1056" s="5">
        <v>592831.47</v>
      </c>
      <c r="E1056" s="71">
        <f>C1056+D1056-G1056</f>
        <v>595765.43999999994</v>
      </c>
      <c r="F1056" s="77"/>
      <c r="G1056" s="71">
        <f>51483.52+113161.72+11839.13</f>
        <v>176484.37</v>
      </c>
      <c r="H1056" s="285"/>
      <c r="I1056" s="287"/>
      <c r="J1056" s="288"/>
    </row>
    <row r="1057" spans="1:10" ht="10.5" customHeight="1" x14ac:dyDescent="0.3">
      <c r="A1057" s="49"/>
      <c r="B1057" s="138" t="s">
        <v>118</v>
      </c>
      <c r="C1057" s="71">
        <f>D1057/12</f>
        <v>1230.9983333333332</v>
      </c>
      <c r="D1057" s="5">
        <v>14771.98</v>
      </c>
      <c r="E1057" s="71">
        <f>C1057+D1057-G1057</f>
        <v>14673.500133333333</v>
      </c>
      <c r="F1057" s="77"/>
      <c r="G1057" s="71">
        <f>D1057*9%</f>
        <v>1329.4782</v>
      </c>
      <c r="H1057" s="285"/>
      <c r="I1057" s="287"/>
      <c r="J1057" s="288"/>
    </row>
    <row r="1058" spans="1:10" ht="10.5" customHeight="1" x14ac:dyDescent="0.3">
      <c r="A1058" s="49"/>
      <c r="B1058" s="135" t="s">
        <v>23</v>
      </c>
      <c r="C1058" s="50">
        <f>SUM(C1056:C1057)</f>
        <v>180649.33833333332</v>
      </c>
      <c r="D1058" s="50">
        <f>SUM(D1056:D1057)</f>
        <v>607603.44999999995</v>
      </c>
      <c r="E1058" s="50">
        <f>SUM(E1056:E1057)</f>
        <v>610438.94013333332</v>
      </c>
      <c r="F1058" s="147"/>
      <c r="G1058" s="50">
        <f>SUM(G1056:G1057)</f>
        <v>177813.84820000001</v>
      </c>
      <c r="H1058" s="285"/>
      <c r="I1058" s="287"/>
      <c r="J1058" s="288"/>
    </row>
    <row r="1059" spans="1:10" ht="10.5" customHeight="1" x14ac:dyDescent="0.3">
      <c r="A1059" s="49"/>
      <c r="B1059" s="138"/>
      <c r="C1059" s="5"/>
      <c r="D1059" s="14"/>
      <c r="E1059" s="5"/>
      <c r="F1059" s="147"/>
      <c r="G1059" s="5"/>
      <c r="H1059" s="285"/>
      <c r="I1059" s="287"/>
      <c r="J1059" s="288"/>
    </row>
    <row r="1060" spans="1:10" ht="10.5" customHeight="1" x14ac:dyDescent="0.3">
      <c r="A1060" s="49"/>
      <c r="B1060" s="135" t="s">
        <v>79</v>
      </c>
      <c r="C1060" s="50">
        <f>C1058+C1054</f>
        <v>448212.68326291075</v>
      </c>
      <c r="D1060" s="50">
        <f>D1058+D1054</f>
        <v>2202841.4500000002</v>
      </c>
      <c r="E1060" s="50">
        <f>E1058+E1054</f>
        <v>2162705.7286629109</v>
      </c>
      <c r="F1060" s="50">
        <f>D1060</f>
        <v>2202841.4500000002</v>
      </c>
      <c r="G1060" s="50">
        <f>G1058+G1054</f>
        <v>488348.40460000001</v>
      </c>
      <c r="H1060" s="285"/>
      <c r="I1060" s="287"/>
      <c r="J1060" s="288"/>
    </row>
    <row r="1061" spans="1:10" ht="10.5" customHeight="1" x14ac:dyDescent="0.3">
      <c r="A1061" s="101" t="s">
        <v>26</v>
      </c>
      <c r="B1061" s="137" t="s">
        <v>29</v>
      </c>
      <c r="C1061" s="5"/>
      <c r="D1061" s="147"/>
      <c r="E1061" s="5"/>
      <c r="F1061" s="5"/>
      <c r="G1061" s="5"/>
      <c r="H1061" s="285"/>
      <c r="I1061" s="287"/>
      <c r="J1061" s="288"/>
    </row>
    <row r="1062" spans="1:10" ht="10.5" customHeight="1" x14ac:dyDescent="0.3">
      <c r="A1062" s="101"/>
      <c r="B1062" s="40" t="s">
        <v>31</v>
      </c>
      <c r="C1062" s="43">
        <f>186695.3+111349.46</f>
        <v>298044.76</v>
      </c>
      <c r="D1062" s="5">
        <v>1019795.23</v>
      </c>
      <c r="E1062" s="5">
        <f>C1062+D1062-G1062</f>
        <v>1016188.98</v>
      </c>
      <c r="F1062" s="5"/>
      <c r="G1062" s="5">
        <f>188349.29+113301.72</f>
        <v>301651.01</v>
      </c>
      <c r="H1062" s="285"/>
      <c r="I1062" s="287"/>
      <c r="J1062" s="288"/>
    </row>
    <row r="1063" spans="1:10" ht="10.5" customHeight="1" x14ac:dyDescent="0.3">
      <c r="A1063" s="39"/>
      <c r="B1063" s="40" t="s">
        <v>32</v>
      </c>
      <c r="C1063" s="43">
        <f>D1063/12</f>
        <v>2458.4566666666665</v>
      </c>
      <c r="D1063" s="5">
        <f>17491.43+12010.05</f>
        <v>29501.48</v>
      </c>
      <c r="E1063" s="5">
        <f>C1063+D1063-G1063</f>
        <v>29304.803466666664</v>
      </c>
      <c r="F1063" s="5"/>
      <c r="G1063" s="5">
        <f>D1063*9%</f>
        <v>2655.1331999999998</v>
      </c>
      <c r="H1063" s="285"/>
      <c r="I1063" s="287"/>
      <c r="J1063" s="288"/>
    </row>
    <row r="1064" spans="1:10" ht="10.5" customHeight="1" x14ac:dyDescent="0.3">
      <c r="A1064" s="39"/>
      <c r="B1064" s="177" t="s">
        <v>23</v>
      </c>
      <c r="C1064" s="58">
        <f>SUM(C1062:C1063)</f>
        <v>300503.21666666667</v>
      </c>
      <c r="D1064" s="58">
        <f>SUM(D1062:D1063)</f>
        <v>1049296.71</v>
      </c>
      <c r="E1064" s="58">
        <f>SUM(E1062:E1063)</f>
        <v>1045493.7834666667</v>
      </c>
      <c r="F1064" s="50">
        <f>D1064</f>
        <v>1049296.71</v>
      </c>
      <c r="G1064" s="50">
        <f>SUM(G1062:G1063)</f>
        <v>304306.14319999999</v>
      </c>
      <c r="H1064" s="285"/>
      <c r="I1064" s="287"/>
      <c r="J1064" s="288"/>
    </row>
    <row r="1065" spans="1:10" ht="10.5" customHeight="1" x14ac:dyDescent="0.3">
      <c r="A1065" s="170"/>
      <c r="B1065" s="145"/>
      <c r="C1065" s="5"/>
      <c r="D1065" s="13"/>
      <c r="E1065" s="5"/>
      <c r="F1065" s="5"/>
      <c r="G1065" s="5"/>
      <c r="H1065" s="285"/>
      <c r="I1065" s="287"/>
      <c r="J1065" s="288"/>
    </row>
    <row r="1066" spans="1:10" ht="10.5" customHeight="1" x14ac:dyDescent="0.3">
      <c r="A1066" s="100" t="s">
        <v>22</v>
      </c>
      <c r="B1066" s="183" t="s">
        <v>69</v>
      </c>
      <c r="C1066" s="80">
        <v>139829</v>
      </c>
      <c r="D1066" s="190">
        <v>876758.71</v>
      </c>
      <c r="E1066" s="80">
        <v>895658.61</v>
      </c>
      <c r="F1066" s="80">
        <f>747639.93+184220.96</f>
        <v>931860.89</v>
      </c>
      <c r="G1066" s="80">
        <f>C1066+D1066-E1066</f>
        <v>120929.09999999998</v>
      </c>
      <c r="H1066" s="285"/>
      <c r="I1066" s="287"/>
      <c r="J1066" s="288"/>
    </row>
    <row r="1067" spans="1:10" ht="10.5" customHeight="1" x14ac:dyDescent="0.3">
      <c r="A1067" s="1"/>
      <c r="B1067" s="244"/>
      <c r="C1067" s="17"/>
      <c r="D1067" s="107"/>
      <c r="E1067" s="17"/>
      <c r="F1067" s="17"/>
      <c r="G1067" s="17"/>
      <c r="H1067" s="285"/>
      <c r="I1067" s="287"/>
      <c r="J1067" s="288"/>
    </row>
    <row r="1068" spans="1:10" ht="10.5" customHeight="1" x14ac:dyDescent="0.3">
      <c r="A1068" s="180"/>
      <c r="B1068" s="94" t="s">
        <v>74</v>
      </c>
      <c r="C1068" s="91">
        <f>C1066+C1064+C1060</f>
        <v>888544.89992957748</v>
      </c>
      <c r="D1068" s="91">
        <f>D1066+D1064+D1060</f>
        <v>4128896.87</v>
      </c>
      <c r="E1068" s="91">
        <f>E1066+E1064+E1060</f>
        <v>4103858.1221295777</v>
      </c>
      <c r="F1068" s="91">
        <f>F1066+F1064+F1060</f>
        <v>4183999.0500000003</v>
      </c>
      <c r="G1068" s="91">
        <f>G1066+G1064+G1060</f>
        <v>913583.64779999992</v>
      </c>
      <c r="H1068" s="285"/>
      <c r="I1068" s="287"/>
      <c r="J1068" s="288"/>
    </row>
    <row r="1069" spans="1:10" ht="11.1" customHeight="1" x14ac:dyDescent="0.3">
      <c r="A1069" s="148"/>
      <c r="B1069" s="148"/>
      <c r="C1069" s="147"/>
      <c r="D1069" s="147"/>
      <c r="E1069" s="147"/>
      <c r="F1069" s="147"/>
      <c r="G1069" s="147"/>
      <c r="H1069" s="285"/>
      <c r="I1069" s="287"/>
      <c r="J1069" s="288"/>
    </row>
    <row r="1070" spans="1:10" ht="11.1" customHeight="1" x14ac:dyDescent="0.3">
      <c r="A1070" s="148"/>
      <c r="B1070" s="148"/>
      <c r="C1070" s="147"/>
      <c r="D1070" s="147"/>
      <c r="E1070" s="147"/>
      <c r="F1070" s="147"/>
      <c r="G1070" s="147"/>
      <c r="H1070" s="285"/>
      <c r="I1070" s="287"/>
      <c r="J1070" s="288"/>
    </row>
    <row r="1071" spans="1:10" ht="11.1" customHeight="1" x14ac:dyDescent="0.3">
      <c r="A1071" s="148"/>
      <c r="B1071" s="148"/>
      <c r="C1071" s="147"/>
      <c r="D1071" s="147"/>
      <c r="E1071" s="147"/>
      <c r="F1071" s="147"/>
      <c r="G1071" s="147"/>
      <c r="H1071" s="285"/>
      <c r="I1071" s="287"/>
      <c r="J1071" s="288"/>
    </row>
    <row r="1072" spans="1:10" ht="11.1" customHeight="1" x14ac:dyDescent="0.3">
      <c r="A1072" s="305" t="s">
        <v>6</v>
      </c>
      <c r="B1072" s="305"/>
      <c r="C1072" s="305"/>
      <c r="D1072" s="305"/>
      <c r="E1072" s="305"/>
      <c r="F1072" s="305"/>
      <c r="G1072" s="305"/>
      <c r="H1072" s="285"/>
      <c r="I1072" s="287"/>
      <c r="J1072" s="288"/>
    </row>
    <row r="1073" spans="1:10" ht="11.1" customHeight="1" x14ac:dyDescent="0.3">
      <c r="A1073" s="305" t="s">
        <v>35</v>
      </c>
      <c r="B1073" s="305"/>
      <c r="C1073" s="305"/>
      <c r="D1073" s="305"/>
      <c r="E1073" s="305"/>
      <c r="F1073" s="305"/>
      <c r="G1073" s="305"/>
      <c r="H1073" s="285"/>
      <c r="I1073" s="287"/>
      <c r="J1073" s="288"/>
    </row>
    <row r="1074" spans="1:10" ht="11.1" customHeight="1" x14ac:dyDescent="0.3">
      <c r="A1074" s="311" t="s">
        <v>36</v>
      </c>
      <c r="B1074" s="311"/>
      <c r="C1074" s="311"/>
      <c r="D1074" s="311"/>
      <c r="E1074" s="311"/>
      <c r="F1074" s="311"/>
      <c r="G1074" s="311"/>
      <c r="H1074" s="285"/>
      <c r="I1074" s="287"/>
      <c r="J1074" s="288"/>
    </row>
    <row r="1075" spans="1:10" ht="11.1" customHeight="1" x14ac:dyDescent="0.3">
      <c r="A1075" s="312" t="s">
        <v>60</v>
      </c>
      <c r="B1075" s="313"/>
      <c r="C1075" s="313"/>
      <c r="D1075" s="313"/>
      <c r="E1075" s="313"/>
      <c r="F1075" s="313"/>
      <c r="G1075" s="314"/>
      <c r="H1075" s="285"/>
      <c r="I1075" s="287"/>
      <c r="J1075" s="288"/>
    </row>
    <row r="1076" spans="1:10" ht="11.1" customHeight="1" x14ac:dyDescent="0.3">
      <c r="A1076" s="25"/>
      <c r="B1076" s="292" t="s">
        <v>3</v>
      </c>
      <c r="C1076" s="293"/>
      <c r="D1076" s="293"/>
      <c r="E1076" s="293"/>
      <c r="F1076" s="293"/>
      <c r="G1076" s="294"/>
      <c r="H1076" s="285"/>
      <c r="I1076" s="287"/>
      <c r="J1076" s="288"/>
    </row>
    <row r="1077" spans="1:10" ht="10.5" customHeight="1" x14ac:dyDescent="0.3">
      <c r="A1077" s="26">
        <v>1</v>
      </c>
      <c r="B1077" s="295" t="s">
        <v>4</v>
      </c>
      <c r="C1077" s="296"/>
      <c r="D1077" s="296"/>
      <c r="E1077" s="297"/>
      <c r="F1077" s="298">
        <v>1992</v>
      </c>
      <c r="G1077" s="299"/>
      <c r="H1077" s="285"/>
      <c r="I1077" s="287"/>
      <c r="J1077" s="288"/>
    </row>
    <row r="1078" spans="1:10" ht="10.5" customHeight="1" x14ac:dyDescent="0.3">
      <c r="A1078" s="27">
        <v>2</v>
      </c>
      <c r="B1078" s="300" t="s">
        <v>12</v>
      </c>
      <c r="C1078" s="301"/>
      <c r="D1078" s="301"/>
      <c r="E1078" s="302"/>
      <c r="F1078" s="303">
        <v>9</v>
      </c>
      <c r="G1078" s="304"/>
      <c r="H1078" s="285"/>
      <c r="I1078" s="287"/>
      <c r="J1078" s="288"/>
    </row>
    <row r="1079" spans="1:10" ht="10.5" customHeight="1" x14ac:dyDescent="0.3">
      <c r="A1079" s="27">
        <v>3</v>
      </c>
      <c r="B1079" s="300" t="s">
        <v>14</v>
      </c>
      <c r="C1079" s="301"/>
      <c r="D1079" s="301"/>
      <c r="E1079" s="302"/>
      <c r="F1079" s="303">
        <v>1</v>
      </c>
      <c r="G1079" s="304"/>
      <c r="H1079" s="285"/>
      <c r="I1079" s="287"/>
      <c r="J1079" s="288"/>
    </row>
    <row r="1080" spans="1:10" ht="10.5" customHeight="1" x14ac:dyDescent="0.3">
      <c r="A1080" s="27">
        <v>4</v>
      </c>
      <c r="B1080" s="300" t="s">
        <v>13</v>
      </c>
      <c r="C1080" s="301"/>
      <c r="D1080" s="301"/>
      <c r="E1080" s="302"/>
      <c r="F1080" s="303">
        <v>144</v>
      </c>
      <c r="G1080" s="304"/>
      <c r="H1080" s="285"/>
      <c r="I1080" s="287"/>
      <c r="J1080" s="288"/>
    </row>
    <row r="1081" spans="1:10" ht="10.5" customHeight="1" x14ac:dyDescent="0.3">
      <c r="A1081" s="27">
        <v>5</v>
      </c>
      <c r="B1081" s="300" t="s">
        <v>10</v>
      </c>
      <c r="C1081" s="301"/>
      <c r="D1081" s="301"/>
      <c r="E1081" s="302"/>
      <c r="F1081" s="303">
        <v>989.5</v>
      </c>
      <c r="G1081" s="304"/>
      <c r="H1081" s="285"/>
      <c r="I1081" s="287"/>
      <c r="J1081" s="288"/>
    </row>
    <row r="1082" spans="1:10" ht="10.5" customHeight="1" x14ac:dyDescent="0.3">
      <c r="A1082" s="27">
        <v>6</v>
      </c>
      <c r="B1082" s="300" t="s">
        <v>11</v>
      </c>
      <c r="C1082" s="301"/>
      <c r="D1082" s="301"/>
      <c r="E1082" s="302"/>
      <c r="F1082" s="303">
        <v>4856.5</v>
      </c>
      <c r="G1082" s="304"/>
      <c r="H1082" s="285"/>
      <c r="I1082" s="287"/>
      <c r="J1082" s="288"/>
    </row>
    <row r="1083" spans="1:10" ht="10.5" customHeight="1" x14ac:dyDescent="0.3">
      <c r="A1083" s="28">
        <v>7</v>
      </c>
      <c r="B1083" s="306" t="s">
        <v>9</v>
      </c>
      <c r="C1083" s="307"/>
      <c r="D1083" s="307"/>
      <c r="E1083" s="308"/>
      <c r="F1083" s="309">
        <v>14.5</v>
      </c>
      <c r="G1083" s="310"/>
      <c r="H1083" s="285"/>
      <c r="I1083" s="287"/>
      <c r="J1083" s="288"/>
    </row>
    <row r="1084" spans="1:10" ht="10.5" customHeight="1" x14ac:dyDescent="0.3">
      <c r="A1084" s="255"/>
      <c r="B1084" s="251"/>
      <c r="C1084" s="251"/>
      <c r="D1084" s="251"/>
      <c r="E1084" s="251"/>
      <c r="F1084" s="256"/>
      <c r="G1084" s="250"/>
      <c r="H1084" s="285"/>
      <c r="I1084" s="287"/>
      <c r="J1084" s="288"/>
    </row>
    <row r="1085" spans="1:10" ht="10.5" customHeight="1" x14ac:dyDescent="0.3">
      <c r="A1085" s="315" t="s">
        <v>99</v>
      </c>
      <c r="B1085" s="316"/>
      <c r="C1085" s="316"/>
      <c r="D1085" s="316"/>
      <c r="E1085" s="316"/>
      <c r="F1085" s="316"/>
      <c r="G1085" s="317"/>
      <c r="H1085" s="285"/>
      <c r="I1085" s="287"/>
      <c r="J1085" s="288"/>
    </row>
    <row r="1086" spans="1:10" ht="10.5" customHeight="1" x14ac:dyDescent="0.3">
      <c r="A1086" s="29"/>
      <c r="B1086" s="30"/>
      <c r="C1086" s="29" t="s">
        <v>19</v>
      </c>
      <c r="D1086" s="29"/>
      <c r="E1086" s="29"/>
      <c r="F1086" s="31"/>
      <c r="G1086" s="29" t="s">
        <v>19</v>
      </c>
      <c r="H1086" s="285"/>
      <c r="I1086" s="287"/>
      <c r="J1086" s="288"/>
    </row>
    <row r="1087" spans="1:10" ht="10.5" customHeight="1" x14ac:dyDescent="0.3">
      <c r="A1087" s="24"/>
      <c r="B1087" s="2" t="s">
        <v>1</v>
      </c>
      <c r="C1087" s="24" t="s">
        <v>28</v>
      </c>
      <c r="D1087" s="24" t="s">
        <v>2</v>
      </c>
      <c r="E1087" s="24" t="s">
        <v>16</v>
      </c>
      <c r="F1087" s="32" t="s">
        <v>27</v>
      </c>
      <c r="G1087" s="24" t="s">
        <v>28</v>
      </c>
      <c r="H1087" s="285"/>
      <c r="I1087" s="287"/>
      <c r="J1087" s="288"/>
    </row>
    <row r="1088" spans="1:10" ht="10.5" customHeight="1" x14ac:dyDescent="0.3">
      <c r="A1088" s="33"/>
      <c r="B1088" s="129"/>
      <c r="C1088" s="33" t="s">
        <v>24</v>
      </c>
      <c r="D1088" s="33"/>
      <c r="E1088" s="34"/>
      <c r="F1088" s="35"/>
      <c r="G1088" s="33" t="s">
        <v>30</v>
      </c>
      <c r="H1088" s="285"/>
      <c r="I1088" s="287"/>
      <c r="J1088" s="288"/>
    </row>
    <row r="1089" spans="1:10" ht="10.5" customHeight="1" x14ac:dyDescent="0.3">
      <c r="A1089" s="37" t="s">
        <v>20</v>
      </c>
      <c r="B1089" s="131" t="s">
        <v>33</v>
      </c>
      <c r="C1089" s="42"/>
      <c r="D1089" s="42"/>
      <c r="E1089" s="38"/>
      <c r="F1089" s="38"/>
      <c r="G1089" s="38"/>
      <c r="H1089" s="285"/>
      <c r="I1089" s="287"/>
      <c r="J1089" s="288"/>
    </row>
    <row r="1090" spans="1:10" ht="10.5" customHeight="1" x14ac:dyDescent="0.3">
      <c r="A1090" s="101"/>
      <c r="B1090" s="132" t="s">
        <v>7</v>
      </c>
      <c r="C1090" s="39">
        <v>232125.77</v>
      </c>
      <c r="D1090" s="5">
        <v>835265.01</v>
      </c>
      <c r="E1090" s="5">
        <f>C1090+D1090-G1090</f>
        <v>837044.4</v>
      </c>
      <c r="F1090" s="5"/>
      <c r="G1090" s="5">
        <f>255831.43-25485.05</f>
        <v>230346.38</v>
      </c>
      <c r="H1090" s="285"/>
      <c r="I1090" s="287"/>
      <c r="J1090" s="288"/>
    </row>
    <row r="1091" spans="1:10" ht="10.5" customHeight="1" x14ac:dyDescent="0.3">
      <c r="A1091" s="101"/>
      <c r="B1091" s="132" t="s">
        <v>8</v>
      </c>
      <c r="C1091" s="133">
        <f>D1091/12</f>
        <v>184.91166666666666</v>
      </c>
      <c r="D1091" s="5">
        <v>2218.94</v>
      </c>
      <c r="E1091" s="5">
        <f>C1091+D1091-G1091</f>
        <v>2204.1470666666669</v>
      </c>
      <c r="F1091" s="5"/>
      <c r="G1091" s="5">
        <f>D1091*9%</f>
        <v>199.7046</v>
      </c>
      <c r="H1091" s="285"/>
      <c r="I1091" s="287"/>
      <c r="J1091" s="288"/>
    </row>
    <row r="1092" spans="1:10" ht="10.5" customHeight="1" x14ac:dyDescent="0.3">
      <c r="A1092" s="101"/>
      <c r="B1092" s="132" t="s">
        <v>17</v>
      </c>
      <c r="C1092" s="39">
        <f>D1092/12</f>
        <v>800</v>
      </c>
      <c r="D1092" s="5">
        <v>9600</v>
      </c>
      <c r="E1092" s="5">
        <f>C1092+D1092-G1092</f>
        <v>9536</v>
      </c>
      <c r="F1092" s="5"/>
      <c r="G1092" s="5">
        <f>D1092*9%</f>
        <v>864</v>
      </c>
      <c r="H1092" s="285"/>
      <c r="I1092" s="287"/>
      <c r="J1092" s="288"/>
    </row>
    <row r="1093" spans="1:10" ht="10.5" customHeight="1" x14ac:dyDescent="0.3">
      <c r="A1093" s="101"/>
      <c r="B1093" s="135" t="s">
        <v>23</v>
      </c>
      <c r="C1093" s="50">
        <f>SUM(C1090:C1092)</f>
        <v>233110.68166666664</v>
      </c>
      <c r="D1093" s="50">
        <f>SUM(D1090:D1092)</f>
        <v>847083.95</v>
      </c>
      <c r="E1093" s="50">
        <f>SUM(E1090:E1092)</f>
        <v>848784.54706666665</v>
      </c>
      <c r="F1093" s="50">
        <f>C1093+2332</f>
        <v>235442.68166666664</v>
      </c>
      <c r="G1093" s="50">
        <f>SUM(G1090:G1092)</f>
        <v>231410.0846</v>
      </c>
      <c r="H1093" s="285"/>
      <c r="I1093" s="287"/>
      <c r="J1093" s="288"/>
    </row>
    <row r="1094" spans="1:10" ht="10.5" customHeight="1" x14ac:dyDescent="0.3">
      <c r="A1094" s="101"/>
      <c r="B1094" s="135"/>
      <c r="C1094" s="39"/>
      <c r="D1094" s="5"/>
      <c r="E1094" s="5"/>
      <c r="F1094" s="5"/>
      <c r="G1094" s="5"/>
      <c r="H1094" s="285"/>
      <c r="I1094" s="287"/>
      <c r="J1094" s="288"/>
    </row>
    <row r="1095" spans="1:10" ht="10.5" customHeight="1" x14ac:dyDescent="0.3">
      <c r="A1095" s="39">
        <v>2</v>
      </c>
      <c r="B1095" s="152" t="s">
        <v>34</v>
      </c>
      <c r="C1095" s="75">
        <v>0</v>
      </c>
      <c r="D1095" s="50">
        <v>179640.9</v>
      </c>
      <c r="E1095" s="50">
        <f>D1095-G1095</f>
        <v>141273.25</v>
      </c>
      <c r="F1095" s="50">
        <f>D1095</f>
        <v>179640.9</v>
      </c>
      <c r="G1095" s="50">
        <f>25485.05+12367.17+515.43</f>
        <v>38367.65</v>
      </c>
      <c r="H1095" s="285"/>
      <c r="I1095" s="287"/>
      <c r="J1095" s="288"/>
    </row>
    <row r="1096" spans="1:10" ht="10.5" customHeight="1" x14ac:dyDescent="0.3">
      <c r="A1096" s="40"/>
      <c r="B1096" s="40"/>
      <c r="C1096" s="40"/>
      <c r="D1096" s="40"/>
      <c r="E1096" s="40"/>
      <c r="F1096" s="40"/>
      <c r="G1096" s="40"/>
      <c r="H1096" s="285"/>
      <c r="I1096" s="287"/>
      <c r="J1096" s="288"/>
    </row>
    <row r="1097" spans="1:10" ht="10.5" customHeight="1" x14ac:dyDescent="0.3">
      <c r="A1097" s="39" t="s">
        <v>22</v>
      </c>
      <c r="B1097" s="137" t="s">
        <v>106</v>
      </c>
      <c r="C1097" s="5">
        <v>97621.36</v>
      </c>
      <c r="D1097" s="5">
        <v>337281.09</v>
      </c>
      <c r="E1097" s="5">
        <f>C1097+D1097-G1097</f>
        <v>343619.76</v>
      </c>
      <c r="F1097" s="147"/>
      <c r="G1097" s="5">
        <f>104165.29-12367.17-515.43</f>
        <v>91282.69</v>
      </c>
      <c r="H1097" s="285"/>
      <c r="I1097" s="287"/>
      <c r="J1097" s="288"/>
    </row>
    <row r="1098" spans="1:10" ht="10.5" customHeight="1" x14ac:dyDescent="0.3">
      <c r="A1098" s="39"/>
      <c r="B1098" s="138" t="s">
        <v>37</v>
      </c>
      <c r="C1098" s="5">
        <f>D1098/12</f>
        <v>98.926666666666662</v>
      </c>
      <c r="D1098" s="14">
        <v>1187.1199999999999</v>
      </c>
      <c r="E1098" s="5">
        <f>C1098+D1098-G1098</f>
        <v>1179.2058666666667</v>
      </c>
      <c r="F1098" s="139"/>
      <c r="G1098" s="5">
        <f>D1098*9%</f>
        <v>106.84079999999999</v>
      </c>
      <c r="H1098" s="285"/>
      <c r="I1098" s="287"/>
      <c r="J1098" s="288"/>
    </row>
    <row r="1099" spans="1:10" ht="10.5" customHeight="1" x14ac:dyDescent="0.3">
      <c r="A1099" s="79"/>
      <c r="B1099" s="140" t="s">
        <v>23</v>
      </c>
      <c r="C1099" s="80">
        <f>SUM(C1097:C1098)</f>
        <v>97720.286666666667</v>
      </c>
      <c r="D1099" s="185">
        <f>SUM(D1097:D1098)</f>
        <v>338468.21</v>
      </c>
      <c r="E1099" s="80">
        <f>SUM(E1097:E1098)</f>
        <v>344798.96586666669</v>
      </c>
      <c r="F1099" s="186">
        <v>387997.83</v>
      </c>
      <c r="G1099" s="80">
        <f>SUM(G1097:G1098)</f>
        <v>91389.530800000008</v>
      </c>
      <c r="H1099" s="285"/>
      <c r="I1099" s="287"/>
      <c r="J1099" s="288"/>
    </row>
    <row r="1100" spans="1:10" ht="10.5" customHeight="1" x14ac:dyDescent="0.3">
      <c r="A1100" s="81"/>
      <c r="B1100" s="82" t="s">
        <v>74</v>
      </c>
      <c r="C1100" s="90">
        <f>C1099+C1095+C1093</f>
        <v>330830.96833333332</v>
      </c>
      <c r="D1100" s="90">
        <f>D1099+D1095+D1093</f>
        <v>1365193.06</v>
      </c>
      <c r="E1100" s="90">
        <f>E1099+E1095+E1093</f>
        <v>1334856.7629333334</v>
      </c>
      <c r="F1100" s="90">
        <f>F1099+F1095+F1093</f>
        <v>803081.41166666662</v>
      </c>
      <c r="G1100" s="90">
        <f>G1099+G1095+G1093</f>
        <v>361167.26540000003</v>
      </c>
      <c r="H1100" s="285"/>
      <c r="I1100" s="287"/>
      <c r="J1100" s="288"/>
    </row>
    <row r="1101" spans="1:10" ht="10.5" customHeight="1" x14ac:dyDescent="0.3">
      <c r="A1101" s="130"/>
      <c r="B1101" s="36"/>
      <c r="C1101" s="30"/>
      <c r="D1101" s="36"/>
      <c r="E1101" s="36"/>
      <c r="F1101" s="36"/>
      <c r="G1101" s="44"/>
      <c r="H1101" s="285"/>
      <c r="I1101" s="287"/>
      <c r="J1101" s="288"/>
    </row>
    <row r="1102" spans="1:10" ht="10.5" customHeight="1" x14ac:dyDescent="0.3">
      <c r="A1102" s="318" t="s">
        <v>18</v>
      </c>
      <c r="B1102" s="319"/>
      <c r="C1102" s="319"/>
      <c r="D1102" s="319"/>
      <c r="E1102" s="319"/>
      <c r="F1102" s="319"/>
      <c r="G1102" s="45"/>
      <c r="H1102" s="285"/>
      <c r="I1102" s="287"/>
      <c r="J1102" s="288"/>
    </row>
    <row r="1103" spans="1:10" ht="10.5" customHeight="1" x14ac:dyDescent="0.3">
      <c r="A1103" s="1"/>
      <c r="B1103" s="2"/>
      <c r="C1103" s="29" t="s">
        <v>19</v>
      </c>
      <c r="D1103" s="29"/>
      <c r="E1103" s="29"/>
      <c r="F1103" s="31"/>
      <c r="G1103" s="29" t="s">
        <v>19</v>
      </c>
      <c r="H1103" s="285"/>
      <c r="I1103" s="287"/>
      <c r="J1103" s="288"/>
    </row>
    <row r="1104" spans="1:10" ht="10.5" customHeight="1" x14ac:dyDescent="0.3">
      <c r="A1104" s="1" t="s">
        <v>15</v>
      </c>
      <c r="B1104" s="2" t="s">
        <v>1</v>
      </c>
      <c r="C1104" s="24" t="s">
        <v>28</v>
      </c>
      <c r="D1104" s="24" t="s">
        <v>2</v>
      </c>
      <c r="E1104" s="24" t="s">
        <v>16</v>
      </c>
      <c r="F1104" s="32" t="s">
        <v>27</v>
      </c>
      <c r="G1104" s="24" t="s">
        <v>28</v>
      </c>
      <c r="H1104" s="285"/>
      <c r="I1104" s="287"/>
      <c r="J1104" s="288"/>
    </row>
    <row r="1105" spans="1:10" ht="10.5" customHeight="1" x14ac:dyDescent="0.3">
      <c r="A1105" s="1"/>
      <c r="B1105" s="2"/>
      <c r="C1105" s="33" t="s">
        <v>24</v>
      </c>
      <c r="D1105" s="33"/>
      <c r="E1105" s="34"/>
      <c r="F1105" s="35"/>
      <c r="G1105" s="33" t="s">
        <v>30</v>
      </c>
      <c r="H1105" s="285"/>
      <c r="I1105" s="287"/>
      <c r="J1105" s="288"/>
    </row>
    <row r="1106" spans="1:10" ht="10.5" customHeight="1" x14ac:dyDescent="0.3">
      <c r="A1106" s="47" t="s">
        <v>20</v>
      </c>
      <c r="B1106" s="143" t="s">
        <v>21</v>
      </c>
      <c r="C1106" s="38"/>
      <c r="D1106" s="38"/>
      <c r="E1106" s="38"/>
      <c r="F1106" s="38"/>
      <c r="G1106" s="38"/>
      <c r="H1106" s="285"/>
      <c r="I1106" s="287"/>
      <c r="J1106" s="288"/>
    </row>
    <row r="1107" spans="1:10" ht="10.5" customHeight="1" x14ac:dyDescent="0.3">
      <c r="A1107" s="48"/>
      <c r="B1107" s="40" t="s">
        <v>104</v>
      </c>
      <c r="C1107" s="57">
        <f>222530.92</f>
        <v>222530.92</v>
      </c>
      <c r="D1107" s="5">
        <v>1019316.55</v>
      </c>
      <c r="E1107" s="71">
        <f>C1107+D1107-G1107</f>
        <v>963796.6</v>
      </c>
      <c r="F1107" s="77"/>
      <c r="G1107" s="57">
        <v>278050.87</v>
      </c>
      <c r="H1107" s="285"/>
      <c r="I1107" s="287"/>
      <c r="J1107" s="288"/>
    </row>
    <row r="1108" spans="1:10" ht="10.5" customHeight="1" x14ac:dyDescent="0.3">
      <c r="A1108" s="39"/>
      <c r="B1108" s="138" t="s">
        <v>117</v>
      </c>
      <c r="C1108" s="57">
        <f>D1108/12</f>
        <v>248.61416666666665</v>
      </c>
      <c r="D1108" s="5">
        <v>2983.37</v>
      </c>
      <c r="E1108" s="71">
        <f>C1108+D1108-G1108</f>
        <v>2963.4808666666668</v>
      </c>
      <c r="F1108" s="77"/>
      <c r="G1108" s="57">
        <f>D1108*9%</f>
        <v>268.50329999999997</v>
      </c>
      <c r="H1108" s="285"/>
      <c r="I1108" s="287"/>
      <c r="J1108" s="288"/>
    </row>
    <row r="1109" spans="1:10" ht="10.5" customHeight="1" x14ac:dyDescent="0.3">
      <c r="A1109" s="39"/>
      <c r="B1109" s="135" t="s">
        <v>23</v>
      </c>
      <c r="C1109" s="104">
        <f>SUM(C1107:C1108)</f>
        <v>222779.53416666668</v>
      </c>
      <c r="D1109" s="104">
        <f>SUM(D1107:D1108)</f>
        <v>1022299.92</v>
      </c>
      <c r="E1109" s="104">
        <f>SUM(E1107:E1108)</f>
        <v>966760.08086666663</v>
      </c>
      <c r="F1109" s="104">
        <f>SUM(F1107:F1108)</f>
        <v>0</v>
      </c>
      <c r="G1109" s="104">
        <f>SUM(G1107:G1108)</f>
        <v>278319.37329999998</v>
      </c>
      <c r="H1109" s="285"/>
      <c r="I1109" s="287"/>
      <c r="J1109" s="288"/>
    </row>
    <row r="1110" spans="1:10" ht="10.5" customHeight="1" x14ac:dyDescent="0.3">
      <c r="A1110" s="39"/>
      <c r="B1110" s="138"/>
      <c r="C1110" s="57"/>
      <c r="D1110" s="5"/>
      <c r="E1110" s="71"/>
      <c r="F1110" s="77"/>
      <c r="G1110" s="57"/>
      <c r="H1110" s="285"/>
      <c r="I1110" s="287"/>
      <c r="J1110" s="288"/>
    </row>
    <row r="1111" spans="1:10" ht="10.5" customHeight="1" x14ac:dyDescent="0.3">
      <c r="A1111" s="49"/>
      <c r="B1111" s="40" t="s">
        <v>107</v>
      </c>
      <c r="C1111" s="71">
        <f>18920.27+103347.59+20481.12+10.16</f>
        <v>142759.14000000001</v>
      </c>
      <c r="D1111" s="5">
        <v>536547.03</v>
      </c>
      <c r="E1111" s="71">
        <f>C1111+D1111-G1111</f>
        <v>535833.46</v>
      </c>
      <c r="F1111" s="77"/>
      <c r="G1111" s="71">
        <f>2864.32+112016.3+28590.77+1.32</f>
        <v>143472.71000000002</v>
      </c>
      <c r="H1111" s="285"/>
      <c r="I1111" s="287"/>
      <c r="J1111" s="288"/>
    </row>
    <row r="1112" spans="1:10" ht="10.5" customHeight="1" x14ac:dyDescent="0.3">
      <c r="A1112" s="49"/>
      <c r="B1112" s="138" t="s">
        <v>117</v>
      </c>
      <c r="C1112" s="71">
        <v>0</v>
      </c>
      <c r="D1112" s="5">
        <v>0</v>
      </c>
      <c r="E1112" s="71">
        <v>0</v>
      </c>
      <c r="F1112" s="77"/>
      <c r="G1112" s="71">
        <v>0</v>
      </c>
      <c r="H1112" s="285"/>
      <c r="I1112" s="287"/>
      <c r="J1112" s="288"/>
    </row>
    <row r="1113" spans="1:10" ht="10.5" customHeight="1" x14ac:dyDescent="0.3">
      <c r="A1113" s="49"/>
      <c r="B1113" s="135" t="s">
        <v>23</v>
      </c>
      <c r="C1113" s="50">
        <f>SUM(C1111:C1112)</f>
        <v>142759.14000000001</v>
      </c>
      <c r="D1113" s="50">
        <f>SUM(D1111:D1112)</f>
        <v>536547.03</v>
      </c>
      <c r="E1113" s="50">
        <f>SUM(E1111:E1112)</f>
        <v>535833.46</v>
      </c>
      <c r="F1113" s="147"/>
      <c r="G1113" s="50">
        <f>SUM(G1111:G1112)</f>
        <v>143472.71000000002</v>
      </c>
      <c r="H1113" s="285"/>
      <c r="I1113" s="287"/>
      <c r="J1113" s="288"/>
    </row>
    <row r="1114" spans="1:10" ht="10.5" customHeight="1" x14ac:dyDescent="0.3">
      <c r="A1114" s="49"/>
      <c r="B1114" s="135"/>
      <c r="C1114" s="50"/>
      <c r="D1114" s="50"/>
      <c r="E1114" s="50"/>
      <c r="F1114" s="147"/>
      <c r="G1114" s="50"/>
      <c r="H1114" s="285"/>
      <c r="I1114" s="287"/>
      <c r="J1114" s="288"/>
    </row>
    <row r="1115" spans="1:10" ht="10.5" customHeight="1" x14ac:dyDescent="0.3">
      <c r="A1115" s="49"/>
      <c r="B1115" s="135" t="s">
        <v>79</v>
      </c>
      <c r="C1115" s="50">
        <f>C1113+C1109</f>
        <v>365538.67416666669</v>
      </c>
      <c r="D1115" s="50">
        <f>D1113+D1109</f>
        <v>1558846.9500000002</v>
      </c>
      <c r="E1115" s="50">
        <f>E1113+E1109</f>
        <v>1502593.5408666665</v>
      </c>
      <c r="F1115" s="50">
        <f>D1115</f>
        <v>1558846.9500000002</v>
      </c>
      <c r="G1115" s="50">
        <f>G1113+G1109</f>
        <v>421792.0833</v>
      </c>
      <c r="H1115" s="285"/>
      <c r="I1115" s="287"/>
      <c r="J1115" s="288"/>
    </row>
    <row r="1116" spans="1:10" ht="10.5" customHeight="1" x14ac:dyDescent="0.3">
      <c r="A1116" s="39"/>
      <c r="B1116" s="134"/>
      <c r="C1116" s="50"/>
      <c r="D1116" s="5"/>
      <c r="E1116" s="5"/>
      <c r="F1116" s="5"/>
      <c r="G1116" s="5"/>
      <c r="H1116" s="285"/>
      <c r="I1116" s="287"/>
      <c r="J1116" s="288"/>
    </row>
    <row r="1117" spans="1:10" ht="10.5" customHeight="1" x14ac:dyDescent="0.3">
      <c r="A1117" s="101" t="s">
        <v>26</v>
      </c>
      <c r="B1117" s="137" t="s">
        <v>29</v>
      </c>
      <c r="C1117" s="5"/>
      <c r="D1117" s="5"/>
      <c r="E1117" s="5"/>
      <c r="F1117" s="5"/>
      <c r="G1117" s="5"/>
      <c r="H1117" s="285"/>
      <c r="I1117" s="287"/>
      <c r="J1117" s="288"/>
    </row>
    <row r="1118" spans="1:10" ht="10.5" customHeight="1" x14ac:dyDescent="0.3">
      <c r="A1118" s="101"/>
      <c r="B1118" s="40" t="s">
        <v>31</v>
      </c>
      <c r="C1118" s="43">
        <f>158262.62+90236.48</f>
        <v>248499.09999999998</v>
      </c>
      <c r="D1118" s="5">
        <v>943257.43</v>
      </c>
      <c r="E1118" s="5">
        <f>C1118+D1118-G1118</f>
        <v>940865.1100000001</v>
      </c>
      <c r="F1118" s="5"/>
      <c r="G1118" s="5">
        <f>161623.81+89267.61</f>
        <v>250891.41999999998</v>
      </c>
      <c r="H1118" s="285"/>
      <c r="I1118" s="287"/>
      <c r="J1118" s="288"/>
    </row>
    <row r="1119" spans="1:10" ht="10.5" customHeight="1" x14ac:dyDescent="0.3">
      <c r="A1119" s="39"/>
      <c r="B1119" s="40" t="s">
        <v>32</v>
      </c>
      <c r="C1119" s="43">
        <v>0</v>
      </c>
      <c r="D1119" s="5">
        <f>135.87+93.3</f>
        <v>229.17000000000002</v>
      </c>
      <c r="E1119" s="5">
        <f>D1119</f>
        <v>229.17000000000002</v>
      </c>
      <c r="F1119" s="5"/>
      <c r="G1119" s="5">
        <v>0</v>
      </c>
      <c r="H1119" s="285"/>
      <c r="I1119" s="287"/>
      <c r="J1119" s="288"/>
    </row>
    <row r="1120" spans="1:10" ht="10.5" customHeight="1" x14ac:dyDescent="0.3">
      <c r="A1120" s="39"/>
      <c r="B1120" s="135" t="s">
        <v>23</v>
      </c>
      <c r="C1120" s="58">
        <f>SUM(C1118:C1119)</f>
        <v>248499.09999999998</v>
      </c>
      <c r="D1120" s="50">
        <f>SUM(D1118:D1119)</f>
        <v>943486.60000000009</v>
      </c>
      <c r="E1120" s="50">
        <f>SUM(E1118:E1119)</f>
        <v>941094.28000000014</v>
      </c>
      <c r="F1120" s="50">
        <f>D1120+22949.21</f>
        <v>966435.81</v>
      </c>
      <c r="G1120" s="50">
        <f>SUM(G1118:G1119)</f>
        <v>250891.41999999998</v>
      </c>
      <c r="H1120" s="285"/>
      <c r="I1120" s="287"/>
      <c r="J1120" s="288"/>
    </row>
    <row r="1121" spans="1:10" ht="10.5" customHeight="1" x14ac:dyDescent="0.3">
      <c r="A1121" s="79"/>
      <c r="B1121" s="177"/>
      <c r="C1121" s="186"/>
      <c r="D1121" s="190"/>
      <c r="E1121" s="80"/>
      <c r="F1121" s="80"/>
      <c r="G1121" s="80"/>
      <c r="H1121" s="285"/>
      <c r="I1121" s="287"/>
      <c r="J1121" s="288"/>
    </row>
    <row r="1122" spans="1:10" ht="10.5" customHeight="1" x14ac:dyDescent="0.3">
      <c r="A1122" s="100">
        <v>3</v>
      </c>
      <c r="B1122" s="183" t="s">
        <v>69</v>
      </c>
      <c r="C1122" s="52">
        <v>156940.32</v>
      </c>
      <c r="D1122" s="92">
        <v>707354.27</v>
      </c>
      <c r="E1122" s="52">
        <v>703497.18</v>
      </c>
      <c r="F1122" s="52">
        <f>620416.53+145839.08</f>
        <v>766255.61</v>
      </c>
      <c r="G1122" s="52">
        <f>C1122+D1122-E1122</f>
        <v>160797.41000000003</v>
      </c>
      <c r="H1122" s="285"/>
      <c r="I1122" s="287"/>
      <c r="J1122" s="288"/>
    </row>
    <row r="1123" spans="1:10" ht="10.5" customHeight="1" x14ac:dyDescent="0.3">
      <c r="A1123" s="1"/>
      <c r="B1123" s="201"/>
      <c r="C1123" s="17"/>
      <c r="D1123" s="107"/>
      <c r="E1123" s="17"/>
      <c r="F1123" s="17"/>
      <c r="G1123" s="17"/>
      <c r="H1123" s="285"/>
      <c r="I1123" s="287"/>
      <c r="J1123" s="288"/>
    </row>
    <row r="1124" spans="1:10" ht="10.5" customHeight="1" x14ac:dyDescent="0.3">
      <c r="A1124" s="180"/>
      <c r="B1124" s="94" t="s">
        <v>74</v>
      </c>
      <c r="C1124" s="91">
        <f>C1122+C1120+C1115</f>
        <v>770978.09416666673</v>
      </c>
      <c r="D1124" s="91">
        <f>D1122+D1120+D1115</f>
        <v>3209687.8200000003</v>
      </c>
      <c r="E1124" s="91">
        <f>E1122+E1120+E1115</f>
        <v>3147185.0008666664</v>
      </c>
      <c r="F1124" s="91">
        <f>F1122+F1120+F1115</f>
        <v>3291538.37</v>
      </c>
      <c r="G1124" s="91">
        <f>G1122+G1120+G1115</f>
        <v>833480.91330000001</v>
      </c>
      <c r="H1124" s="285"/>
      <c r="I1124" s="287"/>
      <c r="J1124" s="288"/>
    </row>
    <row r="1125" spans="1:10" ht="11.1" customHeight="1" x14ac:dyDescent="0.3">
      <c r="A1125" s="148"/>
      <c r="B1125" s="148"/>
      <c r="C1125" s="148"/>
      <c r="D1125" s="148"/>
      <c r="E1125" s="148"/>
      <c r="F1125" s="148"/>
      <c r="G1125" s="148"/>
      <c r="H1125" s="285"/>
      <c r="I1125" s="287"/>
      <c r="J1125" s="288"/>
    </row>
    <row r="1126" spans="1:10" ht="11.1" customHeight="1" x14ac:dyDescent="0.3">
      <c r="A1126" s="148"/>
      <c r="B1126" s="148"/>
      <c r="C1126" s="148"/>
      <c r="D1126" s="148"/>
      <c r="E1126" s="148"/>
      <c r="F1126" s="148"/>
      <c r="G1126" s="148"/>
      <c r="H1126" s="285"/>
      <c r="I1126" s="287"/>
      <c r="J1126" s="288"/>
    </row>
    <row r="1127" spans="1:10" ht="11.1" customHeight="1" x14ac:dyDescent="0.3">
      <c r="A1127" s="305" t="s">
        <v>6</v>
      </c>
      <c r="B1127" s="305"/>
      <c r="C1127" s="305"/>
      <c r="D1127" s="305"/>
      <c r="E1127" s="305"/>
      <c r="F1127" s="305"/>
      <c r="G1127" s="305"/>
      <c r="H1127" s="285"/>
      <c r="I1127" s="287"/>
      <c r="J1127" s="288"/>
    </row>
    <row r="1128" spans="1:10" ht="11.1" customHeight="1" x14ac:dyDescent="0.3">
      <c r="A1128" s="305" t="s">
        <v>35</v>
      </c>
      <c r="B1128" s="305"/>
      <c r="C1128" s="305"/>
      <c r="D1128" s="305"/>
      <c r="E1128" s="305"/>
      <c r="F1128" s="305"/>
      <c r="G1128" s="305"/>
      <c r="H1128" s="285"/>
      <c r="I1128" s="287"/>
      <c r="J1128" s="288"/>
    </row>
    <row r="1129" spans="1:10" ht="11.1" customHeight="1" x14ac:dyDescent="0.3">
      <c r="A1129" s="311" t="s">
        <v>36</v>
      </c>
      <c r="B1129" s="311"/>
      <c r="C1129" s="311"/>
      <c r="D1129" s="311"/>
      <c r="E1129" s="311"/>
      <c r="F1129" s="311"/>
      <c r="G1129" s="311"/>
      <c r="H1129" s="285"/>
      <c r="I1129" s="287"/>
      <c r="J1129" s="288"/>
    </row>
    <row r="1130" spans="1:10" ht="11.1" customHeight="1" x14ac:dyDescent="0.3">
      <c r="A1130" s="312" t="s">
        <v>61</v>
      </c>
      <c r="B1130" s="313"/>
      <c r="C1130" s="313"/>
      <c r="D1130" s="313"/>
      <c r="E1130" s="313"/>
      <c r="F1130" s="313"/>
      <c r="G1130" s="314"/>
      <c r="H1130" s="285"/>
      <c r="I1130" s="287"/>
      <c r="J1130" s="288"/>
    </row>
    <row r="1131" spans="1:10" ht="11.1" customHeight="1" x14ac:dyDescent="0.3">
      <c r="A1131" s="25"/>
      <c r="B1131" s="292" t="s">
        <v>3</v>
      </c>
      <c r="C1131" s="293"/>
      <c r="D1131" s="293"/>
      <c r="E1131" s="293"/>
      <c r="F1131" s="293"/>
      <c r="G1131" s="294"/>
      <c r="H1131" s="285"/>
      <c r="I1131" s="287"/>
      <c r="J1131" s="288"/>
    </row>
    <row r="1132" spans="1:10" ht="11.1" customHeight="1" x14ac:dyDescent="0.3">
      <c r="A1132" s="26">
        <v>1</v>
      </c>
      <c r="B1132" s="295" t="s">
        <v>4</v>
      </c>
      <c r="C1132" s="296"/>
      <c r="D1132" s="296"/>
      <c r="E1132" s="297"/>
      <c r="F1132" s="298">
        <v>1993</v>
      </c>
      <c r="G1132" s="299"/>
      <c r="H1132" s="285"/>
      <c r="I1132" s="287"/>
      <c r="J1132" s="288"/>
    </row>
    <row r="1133" spans="1:10" ht="11.1" customHeight="1" x14ac:dyDescent="0.3">
      <c r="A1133" s="27">
        <v>2</v>
      </c>
      <c r="B1133" s="300" t="s">
        <v>12</v>
      </c>
      <c r="C1133" s="301"/>
      <c r="D1133" s="301"/>
      <c r="E1133" s="302"/>
      <c r="F1133" s="303">
        <v>5</v>
      </c>
      <c r="G1133" s="304"/>
      <c r="H1133" s="285"/>
      <c r="I1133" s="287"/>
      <c r="J1133" s="288"/>
    </row>
    <row r="1134" spans="1:10" ht="11.1" customHeight="1" x14ac:dyDescent="0.3">
      <c r="A1134" s="27">
        <v>3</v>
      </c>
      <c r="B1134" s="300" t="s">
        <v>14</v>
      </c>
      <c r="C1134" s="301"/>
      <c r="D1134" s="301"/>
      <c r="E1134" s="302"/>
      <c r="F1134" s="303">
        <v>7</v>
      </c>
      <c r="G1134" s="304"/>
      <c r="H1134" s="285"/>
      <c r="I1134" s="287"/>
      <c r="J1134" s="288"/>
    </row>
    <row r="1135" spans="1:10" ht="11.1" customHeight="1" x14ac:dyDescent="0.3">
      <c r="A1135" s="27">
        <v>4</v>
      </c>
      <c r="B1135" s="300" t="s">
        <v>13</v>
      </c>
      <c r="C1135" s="301"/>
      <c r="D1135" s="301"/>
      <c r="E1135" s="302"/>
      <c r="F1135" s="303">
        <v>102</v>
      </c>
      <c r="G1135" s="304"/>
      <c r="H1135" s="285"/>
      <c r="I1135" s="287"/>
      <c r="J1135" s="288"/>
    </row>
    <row r="1136" spans="1:10" ht="11.1" customHeight="1" x14ac:dyDescent="0.3">
      <c r="A1136" s="27">
        <v>5</v>
      </c>
      <c r="B1136" s="300" t="s">
        <v>10</v>
      </c>
      <c r="C1136" s="301"/>
      <c r="D1136" s="301"/>
      <c r="E1136" s="302"/>
      <c r="F1136" s="303">
        <v>570.4</v>
      </c>
      <c r="G1136" s="304"/>
      <c r="H1136" s="285"/>
      <c r="I1136" s="287"/>
      <c r="J1136" s="288"/>
    </row>
    <row r="1137" spans="1:10" ht="11.1" customHeight="1" x14ac:dyDescent="0.3">
      <c r="A1137" s="27">
        <v>6</v>
      </c>
      <c r="B1137" s="300" t="s">
        <v>11</v>
      </c>
      <c r="C1137" s="301"/>
      <c r="D1137" s="301"/>
      <c r="E1137" s="302"/>
      <c r="F1137" s="303">
        <v>4832.12</v>
      </c>
      <c r="G1137" s="304"/>
      <c r="H1137" s="285"/>
      <c r="I1137" s="287"/>
      <c r="J1137" s="288"/>
    </row>
    <row r="1138" spans="1:10" ht="11.1" customHeight="1" x14ac:dyDescent="0.3">
      <c r="A1138" s="28">
        <v>7</v>
      </c>
      <c r="B1138" s="306" t="s">
        <v>9</v>
      </c>
      <c r="C1138" s="307"/>
      <c r="D1138" s="307"/>
      <c r="E1138" s="308"/>
      <c r="F1138" s="309">
        <v>0</v>
      </c>
      <c r="G1138" s="310"/>
      <c r="H1138" s="285"/>
      <c r="I1138" s="287"/>
      <c r="J1138" s="288"/>
    </row>
    <row r="1139" spans="1:10" ht="11.1" customHeight="1" x14ac:dyDescent="0.3">
      <c r="A1139" s="255"/>
      <c r="B1139" s="251"/>
      <c r="C1139" s="251"/>
      <c r="D1139" s="251"/>
      <c r="E1139" s="251"/>
      <c r="F1139" s="256"/>
      <c r="G1139" s="250"/>
      <c r="H1139" s="285"/>
      <c r="I1139" s="287"/>
      <c r="J1139" s="288"/>
    </row>
    <row r="1140" spans="1:10" ht="11.1" customHeight="1" x14ac:dyDescent="0.3">
      <c r="A1140" s="315" t="s">
        <v>99</v>
      </c>
      <c r="B1140" s="316"/>
      <c r="C1140" s="316"/>
      <c r="D1140" s="316"/>
      <c r="E1140" s="316"/>
      <c r="F1140" s="316"/>
      <c r="G1140" s="317"/>
      <c r="H1140" s="285"/>
      <c r="I1140" s="287"/>
      <c r="J1140" s="288"/>
    </row>
    <row r="1141" spans="1:10" ht="11.1" customHeight="1" x14ac:dyDescent="0.3">
      <c r="A1141" s="29"/>
      <c r="B1141" s="30"/>
      <c r="C1141" s="29" t="s">
        <v>19</v>
      </c>
      <c r="D1141" s="29"/>
      <c r="E1141" s="29"/>
      <c r="F1141" s="31"/>
      <c r="G1141" s="29" t="s">
        <v>19</v>
      </c>
      <c r="H1141" s="285"/>
      <c r="I1141" s="287"/>
      <c r="J1141" s="288"/>
    </row>
    <row r="1142" spans="1:10" ht="11.1" customHeight="1" x14ac:dyDescent="0.3">
      <c r="A1142" s="24"/>
      <c r="B1142" s="2" t="s">
        <v>1</v>
      </c>
      <c r="C1142" s="24" t="s">
        <v>28</v>
      </c>
      <c r="D1142" s="24" t="s">
        <v>2</v>
      </c>
      <c r="E1142" s="24" t="s">
        <v>16</v>
      </c>
      <c r="F1142" s="32" t="s">
        <v>27</v>
      </c>
      <c r="G1142" s="24" t="s">
        <v>28</v>
      </c>
      <c r="H1142" s="285"/>
      <c r="I1142" s="287"/>
      <c r="J1142" s="288"/>
    </row>
    <row r="1143" spans="1:10" ht="11.1" customHeight="1" x14ac:dyDescent="0.3">
      <c r="A1143" s="33"/>
      <c r="B1143" s="129"/>
      <c r="C1143" s="33" t="s">
        <v>24</v>
      </c>
      <c r="D1143" s="33"/>
      <c r="E1143" s="34"/>
      <c r="F1143" s="35"/>
      <c r="G1143" s="33" t="s">
        <v>30</v>
      </c>
      <c r="H1143" s="285"/>
      <c r="I1143" s="287"/>
      <c r="J1143" s="288"/>
    </row>
    <row r="1144" spans="1:10" ht="11.1" customHeight="1" x14ac:dyDescent="0.3">
      <c r="A1144" s="37" t="s">
        <v>20</v>
      </c>
      <c r="B1144" s="131" t="s">
        <v>33</v>
      </c>
      <c r="C1144" s="42"/>
      <c r="D1144" s="42"/>
      <c r="E1144" s="38"/>
      <c r="F1144" s="38"/>
      <c r="G1144" s="38"/>
      <c r="H1144" s="285"/>
      <c r="I1144" s="287"/>
      <c r="J1144" s="288"/>
    </row>
    <row r="1145" spans="1:10" ht="11.1" customHeight="1" x14ac:dyDescent="0.3">
      <c r="A1145" s="101"/>
      <c r="B1145" s="132" t="s">
        <v>7</v>
      </c>
      <c r="C1145" s="39">
        <v>109291.39</v>
      </c>
      <c r="D1145" s="5">
        <v>556687.65</v>
      </c>
      <c r="E1145" s="5">
        <f>C1145+D1145-G1145</f>
        <v>565995.63</v>
      </c>
      <c r="F1145" s="5"/>
      <c r="G1145" s="5">
        <f>125053.84-25070.43</f>
        <v>99983.41</v>
      </c>
      <c r="H1145" s="285"/>
      <c r="I1145" s="287"/>
      <c r="J1145" s="288"/>
    </row>
    <row r="1146" spans="1:10" ht="11.1" customHeight="1" x14ac:dyDescent="0.3">
      <c r="A1146" s="101"/>
      <c r="B1146" s="132" t="s">
        <v>17</v>
      </c>
      <c r="C1146" s="39">
        <f>D1146/12</f>
        <v>1080</v>
      </c>
      <c r="D1146" s="5">
        <v>12960</v>
      </c>
      <c r="E1146" s="5">
        <f>C1146+D1146-G1146</f>
        <v>12873.6</v>
      </c>
      <c r="F1146" s="5"/>
      <c r="G1146" s="5">
        <f>D1146*9%</f>
        <v>1166.3999999999999</v>
      </c>
      <c r="H1146" s="285"/>
      <c r="I1146" s="287"/>
      <c r="J1146" s="288"/>
    </row>
    <row r="1147" spans="1:10" ht="11.1" customHeight="1" x14ac:dyDescent="0.3">
      <c r="A1147" s="101"/>
      <c r="B1147" s="135" t="s">
        <v>23</v>
      </c>
      <c r="C1147" s="50">
        <f>SUM(C1145:C1146)</f>
        <v>110371.39</v>
      </c>
      <c r="D1147" s="50">
        <f>SUM(D1145:D1146)</f>
        <v>569647.65</v>
      </c>
      <c r="E1147" s="50">
        <f>SUM(E1145:E1146)</f>
        <v>578869.23</v>
      </c>
      <c r="F1147" s="50">
        <f>D1147-414.13</f>
        <v>569233.52</v>
      </c>
      <c r="G1147" s="50">
        <f>SUM(G1145:G1146)</f>
        <v>101149.81</v>
      </c>
      <c r="H1147" s="285"/>
      <c r="I1147" s="287"/>
      <c r="J1147" s="288"/>
    </row>
    <row r="1148" spans="1:10" ht="11.1" customHeight="1" x14ac:dyDescent="0.3">
      <c r="A1148" s="101"/>
      <c r="B1148" s="135"/>
      <c r="C1148" s="39"/>
      <c r="D1148" s="5"/>
      <c r="E1148" s="5"/>
      <c r="F1148" s="5"/>
      <c r="G1148" s="5"/>
      <c r="H1148" s="285"/>
      <c r="I1148" s="287"/>
      <c r="J1148" s="288"/>
    </row>
    <row r="1149" spans="1:10" ht="11.1" customHeight="1" x14ac:dyDescent="0.3">
      <c r="A1149" s="39">
        <v>2</v>
      </c>
      <c r="B1149" s="152" t="s">
        <v>34</v>
      </c>
      <c r="C1149" s="75">
        <v>0</v>
      </c>
      <c r="D1149" s="50">
        <v>199618.74</v>
      </c>
      <c r="E1149" s="50">
        <f>D1149-G1149</f>
        <v>163318.57</v>
      </c>
      <c r="F1149" s="50">
        <f>D1149</f>
        <v>199618.74</v>
      </c>
      <c r="G1149" s="50">
        <f>25070.43+10902.15+327.59</f>
        <v>36300.17</v>
      </c>
      <c r="H1149" s="285"/>
      <c r="I1149" s="287"/>
      <c r="J1149" s="288"/>
    </row>
    <row r="1150" spans="1:10" ht="11.1" customHeight="1" x14ac:dyDescent="0.3">
      <c r="A1150" s="40"/>
      <c r="B1150" s="40"/>
      <c r="C1150" s="40"/>
      <c r="D1150" s="40"/>
      <c r="E1150" s="40"/>
      <c r="F1150" s="40"/>
      <c r="G1150" s="40"/>
      <c r="H1150" s="285"/>
      <c r="I1150" s="287"/>
      <c r="J1150" s="288"/>
    </row>
    <row r="1151" spans="1:10" ht="11.1" customHeight="1" x14ac:dyDescent="0.3">
      <c r="A1151" s="39" t="s">
        <v>22</v>
      </c>
      <c r="B1151" s="137" t="s">
        <v>106</v>
      </c>
      <c r="C1151" s="5">
        <v>68564.820000000007</v>
      </c>
      <c r="D1151" s="5">
        <v>341250.36</v>
      </c>
      <c r="E1151" s="5">
        <f>C1151+D1151-G1151</f>
        <v>348768</v>
      </c>
      <c r="F1151" s="147"/>
      <c r="G1151" s="5">
        <f>72276.92-10902.15-327.59</f>
        <v>61047.18</v>
      </c>
      <c r="H1151" s="285"/>
      <c r="I1151" s="287"/>
      <c r="J1151" s="288"/>
    </row>
    <row r="1152" spans="1:10" ht="11.1" customHeight="1" x14ac:dyDescent="0.3">
      <c r="A1152" s="39"/>
      <c r="B1152" s="138" t="s">
        <v>37</v>
      </c>
      <c r="C1152" s="5">
        <f>D1152/12</f>
        <v>587.06833333333327</v>
      </c>
      <c r="D1152" s="5">
        <v>7044.82</v>
      </c>
      <c r="E1152" s="5">
        <f>C1152+D1152-G1152</f>
        <v>6997.8545333333332</v>
      </c>
      <c r="F1152" s="139"/>
      <c r="G1152" s="5">
        <f>D1152*9%</f>
        <v>634.03379999999993</v>
      </c>
      <c r="H1152" s="285"/>
      <c r="I1152" s="287"/>
      <c r="J1152" s="288"/>
    </row>
    <row r="1153" spans="1:10" ht="11.1" customHeight="1" x14ac:dyDescent="0.3">
      <c r="A1153" s="79"/>
      <c r="B1153" s="140" t="s">
        <v>23</v>
      </c>
      <c r="C1153" s="80">
        <f>SUM(C1151:C1152)</f>
        <v>69151.888333333336</v>
      </c>
      <c r="D1153" s="80">
        <f>SUM(D1151:D1152)</f>
        <v>348295.18</v>
      </c>
      <c r="E1153" s="80">
        <f>SUM(E1151:E1152)</f>
        <v>355765.85453333333</v>
      </c>
      <c r="F1153" s="186">
        <v>219531.77</v>
      </c>
      <c r="G1153" s="80">
        <f>SUM(G1151:G1152)</f>
        <v>61681.213799999998</v>
      </c>
      <c r="H1153" s="285"/>
      <c r="I1153" s="287"/>
      <c r="J1153" s="288"/>
    </row>
    <row r="1154" spans="1:10" ht="11.1" customHeight="1" x14ac:dyDescent="0.3">
      <c r="A1154" s="16"/>
      <c r="B1154" s="235"/>
      <c r="C1154" s="7"/>
      <c r="D1154" s="7"/>
      <c r="E1154" s="7"/>
      <c r="F1154" s="23"/>
      <c r="G1154" s="7"/>
      <c r="H1154" s="285"/>
      <c r="I1154" s="287"/>
      <c r="J1154" s="288"/>
    </row>
    <row r="1155" spans="1:10" ht="11.1" customHeight="1" x14ac:dyDescent="0.3">
      <c r="A1155" s="81"/>
      <c r="B1155" s="82" t="s">
        <v>74</v>
      </c>
      <c r="C1155" s="90">
        <f>C1153+C1149+C1147</f>
        <v>179523.27833333332</v>
      </c>
      <c r="D1155" s="90">
        <f>D1153+D1149+D1147</f>
        <v>1117561.5699999998</v>
      </c>
      <c r="E1155" s="90">
        <f>E1153+E1149+E1147</f>
        <v>1097953.6545333334</v>
      </c>
      <c r="F1155" s="90">
        <f>F1153+F1149+F1147</f>
        <v>988384.03</v>
      </c>
      <c r="G1155" s="90">
        <f>G1153+G1149+G1147</f>
        <v>199131.19380000001</v>
      </c>
      <c r="H1155" s="285"/>
      <c r="I1155" s="287"/>
      <c r="J1155" s="288"/>
    </row>
    <row r="1156" spans="1:10" ht="11.1" customHeight="1" x14ac:dyDescent="0.3">
      <c r="A1156" s="130"/>
      <c r="B1156" s="36"/>
      <c r="C1156" s="30"/>
      <c r="D1156" s="36"/>
      <c r="E1156" s="36"/>
      <c r="F1156" s="36"/>
      <c r="G1156" s="44"/>
      <c r="H1156" s="285"/>
      <c r="I1156" s="287"/>
      <c r="J1156" s="288"/>
    </row>
    <row r="1157" spans="1:10" ht="11.1" customHeight="1" x14ac:dyDescent="0.3">
      <c r="A1157" s="318" t="s">
        <v>18</v>
      </c>
      <c r="B1157" s="319"/>
      <c r="C1157" s="319"/>
      <c r="D1157" s="319"/>
      <c r="E1157" s="319"/>
      <c r="F1157" s="319"/>
      <c r="G1157" s="45"/>
      <c r="H1157" s="285"/>
      <c r="I1157" s="287"/>
      <c r="J1157" s="288"/>
    </row>
    <row r="1158" spans="1:10" ht="11.1" customHeight="1" x14ac:dyDescent="0.3">
      <c r="A1158" s="1"/>
      <c r="B1158" s="2"/>
      <c r="C1158" s="29" t="s">
        <v>19</v>
      </c>
      <c r="D1158" s="29"/>
      <c r="E1158" s="29"/>
      <c r="F1158" s="31"/>
      <c r="G1158" s="29" t="s">
        <v>19</v>
      </c>
      <c r="H1158" s="285"/>
      <c r="I1158" s="287"/>
      <c r="J1158" s="288"/>
    </row>
    <row r="1159" spans="1:10" ht="11.1" customHeight="1" x14ac:dyDescent="0.3">
      <c r="A1159" s="1" t="s">
        <v>15</v>
      </c>
      <c r="B1159" s="2" t="s">
        <v>1</v>
      </c>
      <c r="C1159" s="24" t="s">
        <v>28</v>
      </c>
      <c r="D1159" s="24" t="s">
        <v>2</v>
      </c>
      <c r="E1159" s="24" t="s">
        <v>16</v>
      </c>
      <c r="F1159" s="32" t="s">
        <v>27</v>
      </c>
      <c r="G1159" s="24" t="s">
        <v>28</v>
      </c>
      <c r="H1159" s="285"/>
      <c r="I1159" s="287"/>
      <c r="J1159" s="288"/>
    </row>
    <row r="1160" spans="1:10" ht="11.1" customHeight="1" x14ac:dyDescent="0.3">
      <c r="A1160" s="1"/>
      <c r="B1160" s="2"/>
      <c r="C1160" s="33" t="s">
        <v>24</v>
      </c>
      <c r="D1160" s="33"/>
      <c r="E1160" s="34"/>
      <c r="F1160" s="35"/>
      <c r="G1160" s="33" t="s">
        <v>30</v>
      </c>
      <c r="H1160" s="285"/>
      <c r="I1160" s="287"/>
      <c r="J1160" s="288"/>
    </row>
    <row r="1161" spans="1:10" ht="11.1" customHeight="1" x14ac:dyDescent="0.3">
      <c r="A1161" s="47" t="s">
        <v>20</v>
      </c>
      <c r="B1161" s="143" t="s">
        <v>21</v>
      </c>
      <c r="C1161" s="38"/>
      <c r="D1161" s="38"/>
      <c r="E1161" s="38"/>
      <c r="F1161" s="38"/>
      <c r="G1161" s="38"/>
      <c r="H1161" s="285"/>
      <c r="I1161" s="287"/>
      <c r="J1161" s="288"/>
    </row>
    <row r="1162" spans="1:10" ht="11.1" customHeight="1" x14ac:dyDescent="0.3">
      <c r="A1162" s="48"/>
      <c r="B1162" s="40" t="s">
        <v>82</v>
      </c>
      <c r="C1162" s="57">
        <v>155104.26</v>
      </c>
      <c r="D1162" s="5">
        <v>954871.53</v>
      </c>
      <c r="E1162" s="71">
        <f>C1162+D1162-G1162</f>
        <v>908091.83000000007</v>
      </c>
      <c r="F1162" s="77"/>
      <c r="G1162" s="57">
        <v>201883.96</v>
      </c>
      <c r="H1162" s="285"/>
      <c r="I1162" s="287"/>
      <c r="J1162" s="288"/>
    </row>
    <row r="1163" spans="1:10" ht="11.1" customHeight="1" x14ac:dyDescent="0.3">
      <c r="A1163" s="49"/>
      <c r="B1163" s="40" t="s">
        <v>83</v>
      </c>
      <c r="C1163" s="71">
        <f>28533.52+63089.5+9809.79+25.14</f>
        <v>101457.95</v>
      </c>
      <c r="D1163" s="5">
        <v>432484.55</v>
      </c>
      <c r="E1163" s="71">
        <f>26870.54+252422.87+150785.91</f>
        <v>430079.31999999995</v>
      </c>
      <c r="F1163" s="77"/>
      <c r="G1163" s="71">
        <f>C1163+D1163-E1163</f>
        <v>103863.18000000005</v>
      </c>
      <c r="H1163" s="285"/>
      <c r="I1163" s="287"/>
      <c r="J1163" s="288"/>
    </row>
    <row r="1164" spans="1:10" ht="11.1" customHeight="1" x14ac:dyDescent="0.3">
      <c r="A1164" s="49"/>
      <c r="B1164" s="135" t="s">
        <v>81</v>
      </c>
      <c r="C1164" s="50">
        <f>SUM(C1162:C1163)</f>
        <v>256562.21000000002</v>
      </c>
      <c r="D1164" s="50">
        <f>SUM(D1162:D1163)</f>
        <v>1387356.08</v>
      </c>
      <c r="E1164" s="50">
        <f>SUM(E1162:E1163)</f>
        <v>1338171.1499999999</v>
      </c>
      <c r="F1164" s="50">
        <f>D1164</f>
        <v>1387356.08</v>
      </c>
      <c r="G1164" s="50">
        <f>SUM(G1162:G1163)</f>
        <v>305747.14</v>
      </c>
      <c r="H1164" s="285"/>
      <c r="I1164" s="287"/>
      <c r="J1164" s="288"/>
    </row>
    <row r="1165" spans="1:10" ht="11.1" customHeight="1" x14ac:dyDescent="0.3">
      <c r="A1165" s="49"/>
      <c r="B1165" s="138"/>
      <c r="C1165" s="5"/>
      <c r="D1165" s="14"/>
      <c r="E1165" s="5"/>
      <c r="F1165" s="196"/>
      <c r="G1165" s="5"/>
      <c r="H1165" s="285"/>
      <c r="I1165" s="287"/>
      <c r="J1165" s="288"/>
    </row>
    <row r="1166" spans="1:10" ht="11.1" customHeight="1" x14ac:dyDescent="0.3">
      <c r="A1166" s="101" t="s">
        <v>26</v>
      </c>
      <c r="B1166" s="137" t="s">
        <v>29</v>
      </c>
      <c r="C1166" s="50">
        <f>110220.2+65697.15</f>
        <v>175917.34999999998</v>
      </c>
      <c r="D1166" s="50">
        <v>718925.78</v>
      </c>
      <c r="E1166" s="50">
        <f>C1166+D1166-G1166</f>
        <v>741151.38</v>
      </c>
      <c r="F1166" s="50">
        <f>D1166</f>
        <v>718925.78</v>
      </c>
      <c r="G1166" s="50">
        <f>96216.14+57475.61</f>
        <v>153691.75</v>
      </c>
      <c r="H1166" s="285"/>
      <c r="I1166" s="287"/>
      <c r="J1166" s="288"/>
    </row>
    <row r="1167" spans="1:10" ht="11.1" customHeight="1" x14ac:dyDescent="0.3">
      <c r="A1167" s="148"/>
      <c r="B1167" s="145"/>
      <c r="C1167" s="5"/>
      <c r="D1167" s="13"/>
      <c r="E1167" s="5"/>
      <c r="F1167" s="5"/>
      <c r="G1167" s="5"/>
      <c r="H1167" s="285"/>
      <c r="I1167" s="287"/>
      <c r="J1167" s="288"/>
    </row>
    <row r="1168" spans="1:10" ht="11.1" customHeight="1" x14ac:dyDescent="0.3">
      <c r="A1168" s="100" t="s">
        <v>22</v>
      </c>
      <c r="B1168" s="183" t="s">
        <v>69</v>
      </c>
      <c r="C1168" s="80">
        <v>87905.69</v>
      </c>
      <c r="D1168" s="190">
        <v>525545.41</v>
      </c>
      <c r="E1168" s="80">
        <v>543554.44999999995</v>
      </c>
      <c r="F1168" s="80">
        <f>446243.04+101221.52</f>
        <v>547464.55999999994</v>
      </c>
      <c r="G1168" s="80">
        <f>C1168+D1168-E1168</f>
        <v>69896.65000000014</v>
      </c>
      <c r="H1168" s="285"/>
      <c r="I1168" s="287"/>
      <c r="J1168" s="288"/>
    </row>
    <row r="1169" spans="1:10" ht="11.1" customHeight="1" x14ac:dyDescent="0.3">
      <c r="A1169" s="1"/>
      <c r="B1169" s="201"/>
      <c r="C1169" s="7"/>
      <c r="D1169" s="21"/>
      <c r="E1169" s="7"/>
      <c r="F1169" s="7"/>
      <c r="G1169" s="7"/>
      <c r="H1169" s="285"/>
      <c r="I1169" s="287"/>
      <c r="J1169" s="288"/>
    </row>
    <row r="1170" spans="1:10" ht="11.1" customHeight="1" x14ac:dyDescent="0.3">
      <c r="A1170" s="180"/>
      <c r="B1170" s="94" t="s">
        <v>74</v>
      </c>
      <c r="C1170" s="91">
        <f>C1168+C1166+C1164</f>
        <v>520385.25</v>
      </c>
      <c r="D1170" s="91">
        <f>D1168+D1166+D1164</f>
        <v>2631827.27</v>
      </c>
      <c r="E1170" s="91">
        <f>E1168+E1166+E1164</f>
        <v>2622876.98</v>
      </c>
      <c r="F1170" s="91">
        <f>F1168+F1166+F1164</f>
        <v>2653746.42</v>
      </c>
      <c r="G1170" s="91">
        <f>G1168+G1166+G1164</f>
        <v>529335.54000000015</v>
      </c>
      <c r="H1170" s="285"/>
      <c r="I1170" s="287"/>
      <c r="J1170" s="288"/>
    </row>
    <row r="1171" spans="1:10" ht="11.1" customHeight="1" x14ac:dyDescent="0.3">
      <c r="A1171" s="148"/>
      <c r="B1171" s="148"/>
      <c r="C1171" s="148"/>
      <c r="D1171" s="148"/>
      <c r="E1171" s="148"/>
      <c r="F1171" s="148"/>
      <c r="G1171" s="148"/>
      <c r="H1171" s="285"/>
      <c r="I1171" s="287"/>
      <c r="J1171" s="288"/>
    </row>
    <row r="1172" spans="1:10" ht="11.1" customHeight="1" x14ac:dyDescent="0.3">
      <c r="A1172" s="148"/>
      <c r="B1172" s="148"/>
      <c r="C1172" s="148"/>
      <c r="D1172" s="148"/>
      <c r="E1172" s="148"/>
      <c r="F1172" s="148"/>
      <c r="G1172" s="148"/>
      <c r="H1172" s="285"/>
      <c r="I1172" s="287"/>
      <c r="J1172" s="288"/>
    </row>
    <row r="1173" spans="1:10" ht="11.1" customHeight="1" x14ac:dyDescent="0.3">
      <c r="A1173" s="148"/>
      <c r="B1173" s="148"/>
      <c r="C1173" s="148"/>
      <c r="D1173" s="148"/>
      <c r="E1173" s="148"/>
      <c r="F1173" s="148"/>
      <c r="G1173" s="148"/>
      <c r="H1173" s="285"/>
      <c r="I1173" s="287"/>
      <c r="J1173" s="288"/>
    </row>
    <row r="1174" spans="1:10" ht="11.1" customHeight="1" x14ac:dyDescent="0.3">
      <c r="A1174" s="148"/>
      <c r="B1174" s="148"/>
      <c r="C1174" s="148"/>
      <c r="D1174" s="148"/>
      <c r="E1174" s="148"/>
      <c r="F1174" s="148"/>
      <c r="G1174" s="148"/>
      <c r="H1174" s="285"/>
      <c r="I1174" s="287"/>
      <c r="J1174" s="288"/>
    </row>
    <row r="1175" spans="1:10" ht="11.1" customHeight="1" x14ac:dyDescent="0.3">
      <c r="A1175" s="148"/>
      <c r="B1175" s="148"/>
      <c r="C1175" s="148"/>
      <c r="D1175" s="148"/>
      <c r="E1175" s="148"/>
      <c r="F1175" s="148"/>
      <c r="G1175" s="148"/>
      <c r="H1175" s="285"/>
      <c r="I1175" s="287"/>
      <c r="J1175" s="288"/>
    </row>
    <row r="1176" spans="1:10" ht="11.1" customHeight="1" x14ac:dyDescent="0.3">
      <c r="A1176" s="148"/>
      <c r="B1176" s="148"/>
      <c r="C1176" s="148"/>
      <c r="D1176" s="148"/>
      <c r="E1176" s="148"/>
      <c r="F1176" s="148"/>
      <c r="G1176" s="148"/>
      <c r="H1176" s="285"/>
      <c r="I1176" s="287"/>
      <c r="J1176" s="288"/>
    </row>
    <row r="1177" spans="1:10" ht="11.1" customHeight="1" x14ac:dyDescent="0.3">
      <c r="A1177" s="148"/>
      <c r="B1177" s="148"/>
      <c r="C1177" s="148"/>
      <c r="D1177" s="148"/>
      <c r="E1177" s="148"/>
      <c r="F1177" s="148"/>
      <c r="G1177" s="148"/>
      <c r="H1177" s="285"/>
      <c r="I1177" s="287"/>
      <c r="J1177" s="288"/>
    </row>
    <row r="1178" spans="1:10" ht="11.1" customHeight="1" x14ac:dyDescent="0.3">
      <c r="A1178" s="148"/>
      <c r="B1178" s="148"/>
      <c r="C1178" s="148"/>
      <c r="D1178" s="148"/>
      <c r="E1178" s="148"/>
      <c r="F1178" s="148"/>
      <c r="G1178" s="148"/>
      <c r="H1178" s="285"/>
      <c r="I1178" s="287"/>
      <c r="J1178" s="288"/>
    </row>
    <row r="1179" spans="1:10" ht="11.1" customHeight="1" x14ac:dyDescent="0.3">
      <c r="A1179" s="148"/>
      <c r="B1179" s="148"/>
      <c r="C1179" s="148"/>
      <c r="D1179" s="148"/>
      <c r="E1179" s="148"/>
      <c r="F1179" s="148"/>
      <c r="G1179" s="148"/>
      <c r="H1179" s="285"/>
      <c r="I1179" s="287"/>
      <c r="J1179" s="288"/>
    </row>
    <row r="1180" spans="1:10" ht="11.1" customHeight="1" x14ac:dyDescent="0.3">
      <c r="A1180" s="305" t="s">
        <v>6</v>
      </c>
      <c r="B1180" s="305"/>
      <c r="C1180" s="305"/>
      <c r="D1180" s="305"/>
      <c r="E1180" s="305"/>
      <c r="F1180" s="305"/>
      <c r="G1180" s="305"/>
      <c r="H1180" s="285"/>
      <c r="I1180" s="287"/>
      <c r="J1180" s="288"/>
    </row>
    <row r="1181" spans="1:10" ht="11.1" customHeight="1" x14ac:dyDescent="0.3">
      <c r="A1181" s="305" t="s">
        <v>35</v>
      </c>
      <c r="B1181" s="305"/>
      <c r="C1181" s="305"/>
      <c r="D1181" s="305"/>
      <c r="E1181" s="305"/>
      <c r="F1181" s="305"/>
      <c r="G1181" s="305"/>
      <c r="H1181" s="285"/>
      <c r="I1181" s="287"/>
      <c r="J1181" s="288"/>
    </row>
    <row r="1182" spans="1:10" ht="11.1" customHeight="1" x14ac:dyDescent="0.3">
      <c r="A1182" s="311" t="s">
        <v>36</v>
      </c>
      <c r="B1182" s="311"/>
      <c r="C1182" s="311"/>
      <c r="D1182" s="311"/>
      <c r="E1182" s="311"/>
      <c r="F1182" s="311"/>
      <c r="G1182" s="311"/>
      <c r="H1182" s="285"/>
      <c r="I1182" s="287"/>
      <c r="J1182" s="288"/>
    </row>
    <row r="1183" spans="1:10" ht="11.1" customHeight="1" x14ac:dyDescent="0.3">
      <c r="A1183" s="312" t="s">
        <v>62</v>
      </c>
      <c r="B1183" s="313"/>
      <c r="C1183" s="313"/>
      <c r="D1183" s="313"/>
      <c r="E1183" s="313"/>
      <c r="F1183" s="313"/>
      <c r="G1183" s="314"/>
      <c r="H1183" s="285"/>
      <c r="I1183" s="287"/>
      <c r="J1183" s="288"/>
    </row>
    <row r="1184" spans="1:10" ht="11.1" customHeight="1" x14ac:dyDescent="0.3">
      <c r="A1184" s="25"/>
      <c r="B1184" s="292" t="s">
        <v>3</v>
      </c>
      <c r="C1184" s="293"/>
      <c r="D1184" s="293"/>
      <c r="E1184" s="293"/>
      <c r="F1184" s="293"/>
      <c r="G1184" s="294"/>
      <c r="H1184" s="285"/>
      <c r="I1184" s="287"/>
      <c r="J1184" s="288"/>
    </row>
    <row r="1185" spans="1:10" ht="10.5" customHeight="1" x14ac:dyDescent="0.3">
      <c r="A1185" s="26">
        <v>1</v>
      </c>
      <c r="B1185" s="295" t="s">
        <v>4</v>
      </c>
      <c r="C1185" s="296"/>
      <c r="D1185" s="296"/>
      <c r="E1185" s="297"/>
      <c r="F1185" s="298">
        <v>1977</v>
      </c>
      <c r="G1185" s="299"/>
      <c r="H1185" s="285"/>
      <c r="I1185" s="287"/>
      <c r="J1185" s="288"/>
    </row>
    <row r="1186" spans="1:10" ht="10.5" customHeight="1" x14ac:dyDescent="0.3">
      <c r="A1186" s="27">
        <v>2</v>
      </c>
      <c r="B1186" s="300" t="s">
        <v>12</v>
      </c>
      <c r="C1186" s="301"/>
      <c r="D1186" s="301"/>
      <c r="E1186" s="302"/>
      <c r="F1186" s="303">
        <v>5</v>
      </c>
      <c r="G1186" s="304"/>
      <c r="H1186" s="285"/>
      <c r="I1186" s="287"/>
      <c r="J1186" s="288"/>
    </row>
    <row r="1187" spans="1:10" ht="10.5" customHeight="1" x14ac:dyDescent="0.3">
      <c r="A1187" s="27">
        <v>3</v>
      </c>
      <c r="B1187" s="300" t="s">
        <v>14</v>
      </c>
      <c r="C1187" s="301"/>
      <c r="D1187" s="301"/>
      <c r="E1187" s="302"/>
      <c r="F1187" s="303">
        <v>8</v>
      </c>
      <c r="G1187" s="304"/>
      <c r="H1187" s="285"/>
      <c r="I1187" s="287"/>
      <c r="J1187" s="288"/>
    </row>
    <row r="1188" spans="1:10" ht="10.5" customHeight="1" x14ac:dyDescent="0.3">
      <c r="A1188" s="27">
        <v>4</v>
      </c>
      <c r="B1188" s="300" t="s">
        <v>13</v>
      </c>
      <c r="C1188" s="301"/>
      <c r="D1188" s="301"/>
      <c r="E1188" s="302"/>
      <c r="F1188" s="303">
        <v>125</v>
      </c>
      <c r="G1188" s="304"/>
      <c r="H1188" s="285"/>
      <c r="I1188" s="287"/>
      <c r="J1188" s="288"/>
    </row>
    <row r="1189" spans="1:10" ht="10.5" customHeight="1" x14ac:dyDescent="0.3">
      <c r="A1189" s="27">
        <v>5</v>
      </c>
      <c r="B1189" s="300" t="s">
        <v>10</v>
      </c>
      <c r="C1189" s="301"/>
      <c r="D1189" s="301"/>
      <c r="E1189" s="302"/>
      <c r="F1189" s="303">
        <v>525.79999999999995</v>
      </c>
      <c r="G1189" s="304"/>
      <c r="H1189" s="285"/>
      <c r="I1189" s="287"/>
      <c r="J1189" s="288"/>
    </row>
    <row r="1190" spans="1:10" ht="10.5" customHeight="1" x14ac:dyDescent="0.3">
      <c r="A1190" s="27">
        <v>6</v>
      </c>
      <c r="B1190" s="300" t="s">
        <v>11</v>
      </c>
      <c r="C1190" s="301"/>
      <c r="D1190" s="301"/>
      <c r="E1190" s="302"/>
      <c r="F1190" s="303">
        <v>5928.55</v>
      </c>
      <c r="G1190" s="304"/>
      <c r="H1190" s="285"/>
      <c r="I1190" s="287"/>
      <c r="J1190" s="288"/>
    </row>
    <row r="1191" spans="1:10" ht="10.5" customHeight="1" x14ac:dyDescent="0.3">
      <c r="A1191" s="28">
        <v>7</v>
      </c>
      <c r="B1191" s="306" t="s">
        <v>95</v>
      </c>
      <c r="C1191" s="307"/>
      <c r="D1191" s="307"/>
      <c r="E1191" s="308"/>
      <c r="F1191" s="309">
        <v>472.9</v>
      </c>
      <c r="G1191" s="310"/>
      <c r="H1191" s="285"/>
      <c r="I1191" s="287"/>
      <c r="J1191" s="288"/>
    </row>
    <row r="1192" spans="1:10" ht="10.5" customHeight="1" x14ac:dyDescent="0.3">
      <c r="A1192" s="255"/>
      <c r="B1192" s="251"/>
      <c r="C1192" s="251"/>
      <c r="D1192" s="251"/>
      <c r="E1192" s="251"/>
      <c r="F1192" s="256"/>
      <c r="G1192" s="250"/>
      <c r="H1192" s="285"/>
      <c r="I1192" s="287"/>
      <c r="J1192" s="288"/>
    </row>
    <row r="1193" spans="1:10" ht="10.5" customHeight="1" x14ac:dyDescent="0.3">
      <c r="A1193" s="315" t="s">
        <v>99</v>
      </c>
      <c r="B1193" s="316"/>
      <c r="C1193" s="316"/>
      <c r="D1193" s="316"/>
      <c r="E1193" s="316"/>
      <c r="F1193" s="316"/>
      <c r="G1193" s="317"/>
      <c r="H1193" s="285"/>
      <c r="I1193" s="287"/>
      <c r="J1193" s="288"/>
    </row>
    <row r="1194" spans="1:10" ht="10.5" customHeight="1" x14ac:dyDescent="0.3">
      <c r="A1194" s="29"/>
      <c r="B1194" s="30"/>
      <c r="C1194" s="29" t="s">
        <v>19</v>
      </c>
      <c r="D1194" s="29"/>
      <c r="E1194" s="29"/>
      <c r="F1194" s="31"/>
      <c r="G1194" s="29" t="s">
        <v>19</v>
      </c>
      <c r="H1194" s="285"/>
      <c r="I1194" s="287"/>
      <c r="J1194" s="288"/>
    </row>
    <row r="1195" spans="1:10" ht="10.5" customHeight="1" x14ac:dyDescent="0.3">
      <c r="A1195" s="24"/>
      <c r="B1195" s="2" t="s">
        <v>1</v>
      </c>
      <c r="C1195" s="24" t="s">
        <v>28</v>
      </c>
      <c r="D1195" s="24" t="s">
        <v>2</v>
      </c>
      <c r="E1195" s="24" t="s">
        <v>16</v>
      </c>
      <c r="F1195" s="32" t="s">
        <v>27</v>
      </c>
      <c r="G1195" s="24" t="s">
        <v>28</v>
      </c>
      <c r="H1195" s="285"/>
      <c r="I1195" s="287"/>
      <c r="J1195" s="288"/>
    </row>
    <row r="1196" spans="1:10" ht="10.5" customHeight="1" x14ac:dyDescent="0.3">
      <c r="A1196" s="33"/>
      <c r="B1196" s="129"/>
      <c r="C1196" s="33" t="s">
        <v>24</v>
      </c>
      <c r="D1196" s="33"/>
      <c r="E1196" s="34"/>
      <c r="F1196" s="35"/>
      <c r="G1196" s="33" t="s">
        <v>30</v>
      </c>
      <c r="H1196" s="285"/>
      <c r="I1196" s="287"/>
      <c r="J1196" s="288"/>
    </row>
    <row r="1197" spans="1:10" ht="10.5" customHeight="1" x14ac:dyDescent="0.3">
      <c r="A1197" s="37" t="s">
        <v>20</v>
      </c>
      <c r="B1197" s="131" t="s">
        <v>33</v>
      </c>
      <c r="C1197" s="42"/>
      <c r="D1197" s="42"/>
      <c r="E1197" s="38"/>
      <c r="F1197" s="38"/>
      <c r="G1197" s="38"/>
      <c r="H1197" s="285"/>
      <c r="I1197" s="287"/>
      <c r="J1197" s="288"/>
    </row>
    <row r="1198" spans="1:10" ht="10.5" customHeight="1" x14ac:dyDescent="0.3">
      <c r="A1198" s="101"/>
      <c r="B1198" s="132" t="s">
        <v>7</v>
      </c>
      <c r="C1198" s="39">
        <v>137875.12</v>
      </c>
      <c r="D1198" s="5">
        <v>538279.62</v>
      </c>
      <c r="E1198" s="5">
        <f>C1198+D1198-G1198</f>
        <v>515687.64</v>
      </c>
      <c r="F1198" s="5"/>
      <c r="G1198" s="5">
        <f>185161.19-24694.09</f>
        <v>160467.1</v>
      </c>
      <c r="H1198" s="285"/>
      <c r="I1198" s="287"/>
      <c r="J1198" s="288"/>
    </row>
    <row r="1199" spans="1:10" ht="10.5" customHeight="1" x14ac:dyDescent="0.3">
      <c r="A1199" s="101"/>
      <c r="B1199" s="132" t="s">
        <v>8</v>
      </c>
      <c r="C1199" s="133">
        <f>D1199/12</f>
        <v>2935.1508333333331</v>
      </c>
      <c r="D1199" s="5">
        <v>35221.81</v>
      </c>
      <c r="E1199" s="5">
        <f>C1199+D1199-G1199</f>
        <v>34986.997933333332</v>
      </c>
      <c r="F1199" s="5"/>
      <c r="G1199" s="5">
        <f>D1199*9%</f>
        <v>3169.9628999999995</v>
      </c>
      <c r="H1199" s="285"/>
      <c r="I1199" s="287"/>
      <c r="J1199" s="288"/>
    </row>
    <row r="1200" spans="1:10" ht="10.5" customHeight="1" x14ac:dyDescent="0.3">
      <c r="A1200" s="101"/>
      <c r="B1200" s="132" t="s">
        <v>17</v>
      </c>
      <c r="C1200" s="39">
        <f>D1200/12</f>
        <v>1010</v>
      </c>
      <c r="D1200" s="5">
        <v>12120</v>
      </c>
      <c r="E1200" s="5">
        <f>C1200+D1200-G1200</f>
        <v>12039.2</v>
      </c>
      <c r="F1200" s="5"/>
      <c r="G1200" s="5">
        <f>D1200*9%</f>
        <v>1090.8</v>
      </c>
      <c r="H1200" s="285"/>
      <c r="I1200" s="287"/>
      <c r="J1200" s="288"/>
    </row>
    <row r="1201" spans="1:10" ht="10.5" customHeight="1" x14ac:dyDescent="0.3">
      <c r="A1201" s="101"/>
      <c r="B1201" s="135" t="s">
        <v>23</v>
      </c>
      <c r="C1201" s="50">
        <f>SUM(C1198:C1200)</f>
        <v>141820.27083333331</v>
      </c>
      <c r="D1201" s="50">
        <f>SUM(D1198:D1200)</f>
        <v>585621.42999999993</v>
      </c>
      <c r="E1201" s="50">
        <f>SUM(E1198:E1200)</f>
        <v>562713.83793333336</v>
      </c>
      <c r="F1201" s="50">
        <f>D1201+3976.59</f>
        <v>589598.0199999999</v>
      </c>
      <c r="G1201" s="50">
        <f>SUM(G1198:G1200)</f>
        <v>164727.86290000001</v>
      </c>
      <c r="H1201" s="285"/>
      <c r="I1201" s="287"/>
      <c r="J1201" s="288"/>
    </row>
    <row r="1202" spans="1:10" ht="10.5" customHeight="1" x14ac:dyDescent="0.3">
      <c r="A1202" s="101"/>
      <c r="B1202" s="135"/>
      <c r="C1202" s="39"/>
      <c r="D1202" s="5"/>
      <c r="E1202" s="5"/>
      <c r="F1202" s="5"/>
      <c r="G1202" s="5"/>
      <c r="H1202" s="285"/>
      <c r="I1202" s="287"/>
      <c r="J1202" s="288"/>
    </row>
    <row r="1203" spans="1:10" ht="10.5" customHeight="1" x14ac:dyDescent="0.3">
      <c r="A1203" s="39">
        <v>2</v>
      </c>
      <c r="B1203" s="152" t="s">
        <v>34</v>
      </c>
      <c r="C1203" s="75">
        <v>0</v>
      </c>
      <c r="D1203" s="50">
        <v>218820.76</v>
      </c>
      <c r="E1203" s="50">
        <f>D1203-G1203</f>
        <v>179116.65000000002</v>
      </c>
      <c r="F1203" s="50">
        <f>D1203</f>
        <v>218820.76</v>
      </c>
      <c r="G1203" s="50">
        <f>24694.09+14311.31+698.71</f>
        <v>39704.11</v>
      </c>
      <c r="H1203" s="285"/>
      <c r="I1203" s="287"/>
      <c r="J1203" s="288"/>
    </row>
    <row r="1204" spans="1:10" ht="10.5" customHeight="1" x14ac:dyDescent="0.3">
      <c r="A1204" s="40"/>
      <c r="B1204" s="40"/>
      <c r="C1204" s="40"/>
      <c r="D1204" s="40"/>
      <c r="E1204" s="40"/>
      <c r="F1204" s="40"/>
      <c r="G1204" s="40"/>
      <c r="H1204" s="285"/>
      <c r="I1204" s="287"/>
      <c r="J1204" s="288"/>
    </row>
    <row r="1205" spans="1:10" ht="10.5" customHeight="1" x14ac:dyDescent="0.3">
      <c r="A1205" s="39" t="s">
        <v>22</v>
      </c>
      <c r="B1205" s="137" t="s">
        <v>103</v>
      </c>
      <c r="C1205" s="5">
        <v>115553.14</v>
      </c>
      <c r="D1205" s="5">
        <v>459436.1</v>
      </c>
      <c r="E1205" s="5">
        <f>C1205+D1205-G1205</f>
        <v>440574.80999999994</v>
      </c>
      <c r="F1205" s="147"/>
      <c r="G1205" s="5">
        <f>149424.45-14311.31-698.71</f>
        <v>134414.43000000002</v>
      </c>
      <c r="H1205" s="285"/>
      <c r="I1205" s="287"/>
      <c r="J1205" s="288"/>
    </row>
    <row r="1206" spans="1:10" ht="10.5" customHeight="1" x14ac:dyDescent="0.3">
      <c r="A1206" s="39"/>
      <c r="B1206" s="138" t="s">
        <v>37</v>
      </c>
      <c r="C1206" s="5">
        <f>D1206/12</f>
        <v>3405.44</v>
      </c>
      <c r="D1206" s="5">
        <v>40865.279999999999</v>
      </c>
      <c r="E1206" s="5">
        <f>C1206+D1206-G1206</f>
        <v>40592.844799999999</v>
      </c>
      <c r="F1206" s="139"/>
      <c r="G1206" s="5">
        <f>D1206*9%</f>
        <v>3677.8751999999999</v>
      </c>
      <c r="H1206" s="285"/>
      <c r="I1206" s="287"/>
      <c r="J1206" s="288"/>
    </row>
    <row r="1207" spans="1:10" ht="10.5" customHeight="1" x14ac:dyDescent="0.3">
      <c r="A1207" s="87"/>
      <c r="B1207" s="134" t="s">
        <v>23</v>
      </c>
      <c r="C1207" s="63">
        <f>SUM(C1205:C1206)</f>
        <v>118958.58</v>
      </c>
      <c r="D1207" s="245">
        <f>SUM(D1205:D1206)</f>
        <v>500301.38</v>
      </c>
      <c r="E1207" s="63">
        <f>SUM(E1205:E1206)</f>
        <v>481167.65479999996</v>
      </c>
      <c r="F1207" s="65">
        <v>302535.69</v>
      </c>
      <c r="G1207" s="63">
        <f>SUM(G1205:G1206)</f>
        <v>138092.30520000003</v>
      </c>
      <c r="H1207" s="285"/>
      <c r="I1207" s="287"/>
      <c r="J1207" s="288"/>
    </row>
    <row r="1208" spans="1:10" ht="10.5" customHeight="1" x14ac:dyDescent="0.3">
      <c r="A1208" s="236"/>
      <c r="B1208" s="156"/>
      <c r="C1208" s="66"/>
      <c r="D1208" s="199"/>
      <c r="E1208" s="66"/>
      <c r="F1208" s="67"/>
      <c r="G1208" s="66"/>
      <c r="H1208" s="285"/>
      <c r="I1208" s="287"/>
      <c r="J1208" s="288"/>
    </row>
    <row r="1209" spans="1:10" ht="10.5" customHeight="1" x14ac:dyDescent="0.3">
      <c r="A1209" s="81"/>
      <c r="B1209" s="82" t="s">
        <v>74</v>
      </c>
      <c r="C1209" s="90">
        <f>C1207+C1203+C1201</f>
        <v>260778.85083333333</v>
      </c>
      <c r="D1209" s="90">
        <f>D1207+D1203+D1201</f>
        <v>1304743.5699999998</v>
      </c>
      <c r="E1209" s="90">
        <f>E1207+E1203+E1201</f>
        <v>1222998.1427333334</v>
      </c>
      <c r="F1209" s="90">
        <f>F1207+F1203+F1201</f>
        <v>1110954.47</v>
      </c>
      <c r="G1209" s="90">
        <f>G1207+G1203+G1201</f>
        <v>342524.27810000005</v>
      </c>
      <c r="H1209" s="285"/>
      <c r="I1209" s="287"/>
      <c r="J1209" s="288"/>
    </row>
    <row r="1210" spans="1:10" ht="10.5" customHeight="1" x14ac:dyDescent="0.3">
      <c r="A1210" s="130"/>
      <c r="B1210" s="36"/>
      <c r="C1210" s="30"/>
      <c r="D1210" s="36"/>
      <c r="E1210" s="36"/>
      <c r="F1210" s="36"/>
      <c r="G1210" s="44"/>
      <c r="H1210" s="285"/>
      <c r="I1210" s="287"/>
      <c r="J1210" s="288"/>
    </row>
    <row r="1211" spans="1:10" ht="10.5" customHeight="1" x14ac:dyDescent="0.3">
      <c r="A1211" s="318" t="s">
        <v>18</v>
      </c>
      <c r="B1211" s="319"/>
      <c r="C1211" s="319"/>
      <c r="D1211" s="319"/>
      <c r="E1211" s="319"/>
      <c r="F1211" s="319"/>
      <c r="G1211" s="45"/>
      <c r="H1211" s="285"/>
      <c r="I1211" s="287"/>
      <c r="J1211" s="288"/>
    </row>
    <row r="1212" spans="1:10" ht="10.5" customHeight="1" x14ac:dyDescent="0.3">
      <c r="A1212" s="1"/>
      <c r="B1212" s="2"/>
      <c r="C1212" s="29" t="s">
        <v>19</v>
      </c>
      <c r="D1212" s="29"/>
      <c r="E1212" s="29"/>
      <c r="F1212" s="31"/>
      <c r="G1212" s="29" t="s">
        <v>19</v>
      </c>
      <c r="H1212" s="285"/>
      <c r="I1212" s="287"/>
      <c r="J1212" s="288"/>
    </row>
    <row r="1213" spans="1:10" ht="10.5" customHeight="1" x14ac:dyDescent="0.3">
      <c r="A1213" s="1" t="s">
        <v>15</v>
      </c>
      <c r="B1213" s="2" t="s">
        <v>1</v>
      </c>
      <c r="C1213" s="24" t="s">
        <v>28</v>
      </c>
      <c r="D1213" s="24" t="s">
        <v>2</v>
      </c>
      <c r="E1213" s="24" t="s">
        <v>16</v>
      </c>
      <c r="F1213" s="32" t="s">
        <v>27</v>
      </c>
      <c r="G1213" s="24" t="s">
        <v>28</v>
      </c>
      <c r="H1213" s="285"/>
      <c r="I1213" s="287"/>
      <c r="J1213" s="288"/>
    </row>
    <row r="1214" spans="1:10" ht="10.5" customHeight="1" x14ac:dyDescent="0.3">
      <c r="A1214" s="1"/>
      <c r="B1214" s="2"/>
      <c r="C1214" s="33" t="s">
        <v>24</v>
      </c>
      <c r="D1214" s="33"/>
      <c r="E1214" s="34"/>
      <c r="F1214" s="35"/>
      <c r="G1214" s="33" t="s">
        <v>30</v>
      </c>
      <c r="H1214" s="285"/>
      <c r="I1214" s="287"/>
      <c r="J1214" s="288"/>
    </row>
    <row r="1215" spans="1:10" ht="10.5" customHeight="1" x14ac:dyDescent="0.3">
      <c r="A1215" s="47" t="s">
        <v>20</v>
      </c>
      <c r="B1215" s="143" t="s">
        <v>21</v>
      </c>
      <c r="C1215" s="38"/>
      <c r="D1215" s="38"/>
      <c r="E1215" s="38"/>
      <c r="F1215" s="38"/>
      <c r="G1215" s="38"/>
      <c r="H1215" s="285"/>
      <c r="I1215" s="287"/>
      <c r="J1215" s="288"/>
    </row>
    <row r="1216" spans="1:10" ht="10.5" customHeight="1" x14ac:dyDescent="0.3">
      <c r="A1216" s="48"/>
      <c r="B1216" s="40" t="s">
        <v>109</v>
      </c>
      <c r="C1216" s="57">
        <v>235009.37</v>
      </c>
      <c r="D1216" s="5">
        <f>1155152.28+61093.79</f>
        <v>1216246.07</v>
      </c>
      <c r="E1216" s="71">
        <f>C1216+D1216-G1216</f>
        <v>1096097.6499999999</v>
      </c>
      <c r="F1216" s="77"/>
      <c r="G1216" s="57">
        <v>355157.79</v>
      </c>
      <c r="H1216" s="285"/>
      <c r="I1216" s="287"/>
      <c r="J1216" s="288"/>
    </row>
    <row r="1217" spans="1:10" ht="10.5" customHeight="1" x14ac:dyDescent="0.3">
      <c r="A1217" s="39"/>
      <c r="B1217" s="138" t="s">
        <v>116</v>
      </c>
      <c r="C1217" s="57">
        <f>D1217/12</f>
        <v>7159.605833333334</v>
      </c>
      <c r="D1217" s="5">
        <v>85915.27</v>
      </c>
      <c r="E1217" s="71">
        <f>C1217+D1217-G1217</f>
        <v>85342.501533333343</v>
      </c>
      <c r="F1217" s="77"/>
      <c r="G1217" s="57">
        <f>D1217*9%</f>
        <v>7732.3743000000004</v>
      </c>
      <c r="H1217" s="285"/>
      <c r="I1217" s="287"/>
      <c r="J1217" s="288"/>
    </row>
    <row r="1218" spans="1:10" ht="10.5" customHeight="1" x14ac:dyDescent="0.3">
      <c r="A1218" s="39"/>
      <c r="B1218" s="135" t="s">
        <v>23</v>
      </c>
      <c r="C1218" s="104">
        <f>SUM(C1216:C1217)</f>
        <v>242168.97583333333</v>
      </c>
      <c r="D1218" s="104">
        <f>SUM(D1216:D1217)</f>
        <v>1302161.3400000001</v>
      </c>
      <c r="E1218" s="104">
        <f>SUM(E1216:E1217)</f>
        <v>1181440.1515333334</v>
      </c>
      <c r="F1218" s="104"/>
      <c r="G1218" s="104">
        <f>SUM(G1216:G1217)</f>
        <v>362890.1643</v>
      </c>
      <c r="H1218" s="285"/>
      <c r="I1218" s="287"/>
      <c r="J1218" s="288"/>
    </row>
    <row r="1219" spans="1:10" ht="10.5" customHeight="1" x14ac:dyDescent="0.3">
      <c r="A1219" s="39"/>
      <c r="B1219" s="138"/>
      <c r="C1219" s="57"/>
      <c r="D1219" s="5"/>
      <c r="E1219" s="71"/>
      <c r="F1219" s="77"/>
      <c r="G1219" s="57"/>
      <c r="H1219" s="285"/>
      <c r="I1219" s="287"/>
      <c r="J1219" s="288"/>
    </row>
    <row r="1220" spans="1:10" ht="10.5" customHeight="1" x14ac:dyDescent="0.3">
      <c r="A1220" s="49"/>
      <c r="B1220" s="40" t="s">
        <v>107</v>
      </c>
      <c r="C1220" s="71">
        <f>47883.47+92022.16+7619.7-95.23</f>
        <v>147430.1</v>
      </c>
      <c r="D1220" s="5">
        <v>457169.72</v>
      </c>
      <c r="E1220" s="71">
        <f>C1220+D1220-G1220</f>
        <v>401393.69999999995</v>
      </c>
      <c r="F1220" s="77"/>
      <c r="G1220" s="71">
        <f>43701.92+144568.21+14935.99+0</f>
        <v>203206.12</v>
      </c>
      <c r="H1220" s="285"/>
      <c r="I1220" s="287"/>
      <c r="J1220" s="288"/>
    </row>
    <row r="1221" spans="1:10" ht="10.5" customHeight="1" x14ac:dyDescent="0.3">
      <c r="A1221" s="49"/>
      <c r="B1221" s="138" t="s">
        <v>116</v>
      </c>
      <c r="C1221" s="71">
        <f>D1221/12</f>
        <v>258.63333333333333</v>
      </c>
      <c r="D1221" s="5">
        <v>3103.6</v>
      </c>
      <c r="E1221" s="71">
        <f>C1221+D1221-G1221</f>
        <v>3082.9093333333331</v>
      </c>
      <c r="F1221" s="77"/>
      <c r="G1221" s="71">
        <f>D1221*9%</f>
        <v>279.32399999999996</v>
      </c>
      <c r="H1221" s="285"/>
      <c r="I1221" s="287"/>
      <c r="J1221" s="288"/>
    </row>
    <row r="1222" spans="1:10" ht="10.5" customHeight="1" x14ac:dyDescent="0.3">
      <c r="A1222" s="49"/>
      <c r="B1222" s="135" t="s">
        <v>23</v>
      </c>
      <c r="C1222" s="50">
        <f>SUM(C1220:C1221)</f>
        <v>147688.73333333334</v>
      </c>
      <c r="D1222" s="50">
        <f>SUM(D1220:D1221)</f>
        <v>460273.31999999995</v>
      </c>
      <c r="E1222" s="50">
        <f>SUM(E1220:E1221)</f>
        <v>404476.60933333327</v>
      </c>
      <c r="F1222" s="147"/>
      <c r="G1222" s="50">
        <f>SUM(G1220:G1221)</f>
        <v>203485.44399999999</v>
      </c>
      <c r="H1222" s="285"/>
      <c r="I1222" s="287"/>
      <c r="J1222" s="288"/>
    </row>
    <row r="1223" spans="1:10" ht="10.5" customHeight="1" x14ac:dyDescent="0.3">
      <c r="A1223" s="49"/>
      <c r="B1223" s="135"/>
      <c r="C1223" s="50"/>
      <c r="D1223" s="50"/>
      <c r="E1223" s="50"/>
      <c r="F1223" s="50"/>
      <c r="G1223" s="50"/>
      <c r="H1223" s="285"/>
      <c r="I1223" s="287"/>
      <c r="J1223" s="288"/>
    </row>
    <row r="1224" spans="1:10" ht="10.5" customHeight="1" x14ac:dyDescent="0.3">
      <c r="A1224" s="49"/>
      <c r="B1224" s="135" t="s">
        <v>79</v>
      </c>
      <c r="C1224" s="50">
        <f>C1222+C1218</f>
        <v>389857.70916666667</v>
      </c>
      <c r="D1224" s="50">
        <f>D1222+D1218</f>
        <v>1762434.6600000001</v>
      </c>
      <c r="E1224" s="50">
        <f>E1222+E1218</f>
        <v>1585916.7608666667</v>
      </c>
      <c r="F1224" s="50">
        <f>D1224</f>
        <v>1762434.6600000001</v>
      </c>
      <c r="G1224" s="50">
        <f>G1222+G1218</f>
        <v>566375.60829999996</v>
      </c>
      <c r="H1224" s="285"/>
      <c r="I1224" s="287"/>
      <c r="J1224" s="288"/>
    </row>
    <row r="1225" spans="1:10" ht="10.5" customHeight="1" x14ac:dyDescent="0.3">
      <c r="A1225" s="101" t="s">
        <v>26</v>
      </c>
      <c r="B1225" s="137" t="s">
        <v>29</v>
      </c>
      <c r="C1225" s="5"/>
      <c r="D1225" s="5"/>
      <c r="E1225" s="5"/>
      <c r="F1225" s="5"/>
      <c r="G1225" s="5"/>
      <c r="H1225" s="285"/>
      <c r="I1225" s="287"/>
      <c r="J1225" s="288"/>
    </row>
    <row r="1226" spans="1:10" ht="10.5" customHeight="1" x14ac:dyDescent="0.3">
      <c r="A1226" s="101"/>
      <c r="B1226" s="40" t="s">
        <v>31</v>
      </c>
      <c r="C1226" s="43">
        <f>160650.67+93683.96</f>
        <v>254334.63</v>
      </c>
      <c r="D1226" s="5">
        <v>852421.49</v>
      </c>
      <c r="E1226" s="5">
        <f>C1226+D1226-G1226</f>
        <v>750071.64000000013</v>
      </c>
      <c r="F1226" s="5"/>
      <c r="G1226" s="5">
        <f>227230.45+129454.03</f>
        <v>356684.48</v>
      </c>
      <c r="H1226" s="285"/>
      <c r="I1226" s="287"/>
      <c r="J1226" s="288"/>
    </row>
    <row r="1227" spans="1:10" ht="10.5" customHeight="1" x14ac:dyDescent="0.3">
      <c r="A1227" s="39"/>
      <c r="B1227" s="40" t="s">
        <v>32</v>
      </c>
      <c r="C1227" s="43">
        <f>D1227/12</f>
        <v>805.98500000000001</v>
      </c>
      <c r="D1227" s="14">
        <f>5734.42+3937.4</f>
        <v>9671.82</v>
      </c>
      <c r="E1227" s="14">
        <f>C1227+D1227-G1227</f>
        <v>9607.3412000000008</v>
      </c>
      <c r="F1227" s="5"/>
      <c r="G1227" s="5">
        <f>D1227*9%</f>
        <v>870.46379999999999</v>
      </c>
      <c r="H1227" s="285"/>
      <c r="I1227" s="287"/>
      <c r="J1227" s="288"/>
    </row>
    <row r="1228" spans="1:10" ht="10.5" customHeight="1" x14ac:dyDescent="0.3">
      <c r="A1228" s="39"/>
      <c r="B1228" s="177" t="s">
        <v>23</v>
      </c>
      <c r="C1228" s="58">
        <f>SUM(C1226:C1227)</f>
        <v>255140.61499999999</v>
      </c>
      <c r="D1228" s="50">
        <f>SUM(D1226:D1227)</f>
        <v>862093.30999999994</v>
      </c>
      <c r="E1228" s="50">
        <f>SUM(E1226:E1227)</f>
        <v>759678.98120000015</v>
      </c>
      <c r="F1228" s="50">
        <f>D1228</f>
        <v>862093.30999999994</v>
      </c>
      <c r="G1228" s="50">
        <f>SUM(G1226:G1227)</f>
        <v>357554.94380000001</v>
      </c>
      <c r="H1228" s="285"/>
      <c r="I1228" s="287"/>
      <c r="J1228" s="288"/>
    </row>
    <row r="1229" spans="1:10" ht="10.5" customHeight="1" x14ac:dyDescent="0.3">
      <c r="A1229" s="283"/>
      <c r="B1229" s="145"/>
      <c r="C1229" s="5"/>
      <c r="D1229" s="13"/>
      <c r="E1229" s="5"/>
      <c r="F1229" s="5"/>
      <c r="G1229" s="5"/>
      <c r="H1229" s="285"/>
      <c r="I1229" s="287"/>
      <c r="J1229" s="288"/>
    </row>
    <row r="1230" spans="1:10" ht="10.5" customHeight="1" x14ac:dyDescent="0.3">
      <c r="A1230" s="101" t="s">
        <v>22</v>
      </c>
      <c r="B1230" s="145" t="s">
        <v>127</v>
      </c>
      <c r="C1230" s="5">
        <v>6300.76</v>
      </c>
      <c r="D1230" s="13">
        <v>46511.71</v>
      </c>
      <c r="E1230" s="5">
        <f>C1230+D1230-G1230</f>
        <v>43320.630000000005</v>
      </c>
      <c r="F1230" s="5"/>
      <c r="G1230" s="5">
        <v>9491.84</v>
      </c>
      <c r="H1230" s="285"/>
      <c r="I1230" s="287"/>
      <c r="J1230" s="288"/>
    </row>
    <row r="1231" spans="1:10" ht="10.5" customHeight="1" x14ac:dyDescent="0.3">
      <c r="A1231" s="101"/>
      <c r="B1231" s="284" t="s">
        <v>117</v>
      </c>
      <c r="C1231" s="5">
        <v>148.03</v>
      </c>
      <c r="D1231" s="13">
        <v>1812.3</v>
      </c>
      <c r="E1231" s="5">
        <f>C1231+D1231-G1231</f>
        <v>1806.31</v>
      </c>
      <c r="F1231" s="5"/>
      <c r="G1231" s="5">
        <v>154.02000000000001</v>
      </c>
      <c r="H1231" s="285"/>
      <c r="I1231" s="287"/>
      <c r="J1231" s="288"/>
    </row>
    <row r="1232" spans="1:10" ht="10.5" customHeight="1" x14ac:dyDescent="0.3">
      <c r="A1232" s="101"/>
      <c r="B1232" s="177" t="s">
        <v>23</v>
      </c>
      <c r="C1232" s="50">
        <f>SUM(C1230:C1231)</f>
        <v>6448.79</v>
      </c>
      <c r="D1232" s="50">
        <f t="shared" ref="D1232:G1232" si="16">SUM(D1230:D1231)</f>
        <v>48324.01</v>
      </c>
      <c r="E1232" s="50">
        <f t="shared" si="16"/>
        <v>45126.94</v>
      </c>
      <c r="F1232" s="50">
        <f>D1232</f>
        <v>48324.01</v>
      </c>
      <c r="G1232" s="50">
        <f t="shared" si="16"/>
        <v>9645.86</v>
      </c>
      <c r="H1232" s="285"/>
      <c r="I1232" s="287"/>
      <c r="J1232" s="288"/>
    </row>
    <row r="1233" spans="1:10" ht="10.5" customHeight="1" x14ac:dyDescent="0.3">
      <c r="A1233" s="102"/>
      <c r="B1233" s="192"/>
      <c r="C1233" s="117"/>
      <c r="D1233" s="157"/>
      <c r="E1233" s="117"/>
      <c r="F1233" s="117"/>
      <c r="G1233" s="117"/>
      <c r="H1233" s="285"/>
      <c r="I1233" s="287"/>
      <c r="J1233" s="288"/>
    </row>
    <row r="1234" spans="1:10" ht="10.5" customHeight="1" x14ac:dyDescent="0.3">
      <c r="A1234" s="105"/>
      <c r="B1234" s="200" t="s">
        <v>74</v>
      </c>
      <c r="C1234" s="106">
        <f>C1232+C1228+C1224</f>
        <v>651447.11416666664</v>
      </c>
      <c r="D1234" s="106">
        <f>D1232+D1228+D1224</f>
        <v>2672851.98</v>
      </c>
      <c r="E1234" s="106">
        <f>E1232+E1228+E1224</f>
        <v>2390722.6820666669</v>
      </c>
      <c r="F1234" s="106">
        <f>F1232+F1228+F1224</f>
        <v>2672851.98</v>
      </c>
      <c r="G1234" s="106">
        <f>G1232+G1228+G1224</f>
        <v>933576.41209999996</v>
      </c>
      <c r="H1234" s="285"/>
      <c r="I1234" s="287"/>
      <c r="J1234" s="288"/>
    </row>
    <row r="1235" spans="1:10" ht="11.1" customHeight="1" x14ac:dyDescent="0.3">
      <c r="A1235" s="273"/>
      <c r="B1235" s="271"/>
      <c r="C1235" s="272"/>
      <c r="D1235" s="272"/>
      <c r="E1235" s="272"/>
      <c r="F1235" s="272"/>
      <c r="G1235" s="272"/>
      <c r="H1235" s="285"/>
      <c r="I1235" s="287"/>
      <c r="J1235" s="288"/>
    </row>
    <row r="1236" spans="1:10" ht="11.1" customHeight="1" x14ac:dyDescent="0.3">
      <c r="A1236" s="305" t="s">
        <v>6</v>
      </c>
      <c r="B1236" s="305"/>
      <c r="C1236" s="305"/>
      <c r="D1236" s="305"/>
      <c r="E1236" s="305"/>
      <c r="F1236" s="305"/>
      <c r="G1236" s="305"/>
      <c r="H1236" s="285"/>
      <c r="I1236" s="287"/>
      <c r="J1236" s="288"/>
    </row>
    <row r="1237" spans="1:10" ht="11.1" customHeight="1" x14ac:dyDescent="0.3">
      <c r="A1237" s="305" t="s">
        <v>35</v>
      </c>
      <c r="B1237" s="305"/>
      <c r="C1237" s="305"/>
      <c r="D1237" s="305"/>
      <c r="E1237" s="305"/>
      <c r="F1237" s="305"/>
      <c r="G1237" s="305"/>
      <c r="H1237" s="285"/>
      <c r="I1237" s="287"/>
      <c r="J1237" s="288"/>
    </row>
    <row r="1238" spans="1:10" ht="11.1" customHeight="1" x14ac:dyDescent="0.3">
      <c r="A1238" s="311" t="s">
        <v>36</v>
      </c>
      <c r="B1238" s="311"/>
      <c r="C1238" s="311"/>
      <c r="D1238" s="311"/>
      <c r="E1238" s="311"/>
      <c r="F1238" s="311"/>
      <c r="G1238" s="311"/>
      <c r="H1238" s="285"/>
      <c r="I1238" s="287"/>
      <c r="J1238" s="288"/>
    </row>
    <row r="1239" spans="1:10" ht="11.1" customHeight="1" x14ac:dyDescent="0.3">
      <c r="A1239" s="312" t="s">
        <v>63</v>
      </c>
      <c r="B1239" s="313"/>
      <c r="C1239" s="313"/>
      <c r="D1239" s="313"/>
      <c r="E1239" s="313"/>
      <c r="F1239" s="313"/>
      <c r="G1239" s="314"/>
      <c r="H1239" s="285"/>
      <c r="I1239" s="287"/>
      <c r="J1239" s="288"/>
    </row>
    <row r="1240" spans="1:10" ht="11.1" customHeight="1" x14ac:dyDescent="0.3">
      <c r="A1240" s="25"/>
      <c r="B1240" s="292" t="s">
        <v>3</v>
      </c>
      <c r="C1240" s="293"/>
      <c r="D1240" s="293"/>
      <c r="E1240" s="293"/>
      <c r="F1240" s="293"/>
      <c r="G1240" s="294"/>
      <c r="H1240" s="285"/>
      <c r="I1240" s="287"/>
      <c r="J1240" s="288"/>
    </row>
    <row r="1241" spans="1:10" ht="11.1" customHeight="1" x14ac:dyDescent="0.3">
      <c r="A1241" s="26">
        <v>1</v>
      </c>
      <c r="B1241" s="295" t="s">
        <v>4</v>
      </c>
      <c r="C1241" s="296"/>
      <c r="D1241" s="296"/>
      <c r="E1241" s="297"/>
      <c r="F1241" s="298">
        <v>1978</v>
      </c>
      <c r="G1241" s="299"/>
      <c r="H1241" s="285"/>
      <c r="I1241" s="287"/>
      <c r="J1241" s="288"/>
    </row>
    <row r="1242" spans="1:10" ht="11.1" customHeight="1" x14ac:dyDescent="0.3">
      <c r="A1242" s="27">
        <v>2</v>
      </c>
      <c r="B1242" s="300" t="s">
        <v>12</v>
      </c>
      <c r="C1242" s="301"/>
      <c r="D1242" s="301"/>
      <c r="E1242" s="302"/>
      <c r="F1242" s="303">
        <v>3</v>
      </c>
      <c r="G1242" s="304"/>
      <c r="H1242" s="285"/>
      <c r="I1242" s="287"/>
      <c r="J1242" s="288"/>
    </row>
    <row r="1243" spans="1:10" ht="11.1" customHeight="1" x14ac:dyDescent="0.3">
      <c r="A1243" s="27">
        <v>3</v>
      </c>
      <c r="B1243" s="300" t="s">
        <v>14</v>
      </c>
      <c r="C1243" s="301"/>
      <c r="D1243" s="301"/>
      <c r="E1243" s="302"/>
      <c r="F1243" s="303">
        <v>3</v>
      </c>
      <c r="G1243" s="304"/>
      <c r="H1243" s="285"/>
      <c r="I1243" s="287"/>
      <c r="J1243" s="288"/>
    </row>
    <row r="1244" spans="1:10" ht="11.1" customHeight="1" x14ac:dyDescent="0.3">
      <c r="A1244" s="27">
        <v>4</v>
      </c>
      <c r="B1244" s="300" t="s">
        <v>13</v>
      </c>
      <c r="C1244" s="301"/>
      <c r="D1244" s="301"/>
      <c r="E1244" s="302"/>
      <c r="F1244" s="303">
        <v>36</v>
      </c>
      <c r="G1244" s="304"/>
      <c r="H1244" s="285"/>
      <c r="I1244" s="287"/>
      <c r="J1244" s="288"/>
    </row>
    <row r="1245" spans="1:10" ht="11.1" customHeight="1" x14ac:dyDescent="0.3">
      <c r="A1245" s="27">
        <v>5</v>
      </c>
      <c r="B1245" s="300" t="s">
        <v>10</v>
      </c>
      <c r="C1245" s="301"/>
      <c r="D1245" s="301"/>
      <c r="E1245" s="302"/>
      <c r="F1245" s="303">
        <v>153.19999999999999</v>
      </c>
      <c r="G1245" s="304"/>
      <c r="H1245" s="285"/>
      <c r="I1245" s="287"/>
      <c r="J1245" s="288"/>
    </row>
    <row r="1246" spans="1:10" ht="11.1" customHeight="1" x14ac:dyDescent="0.3">
      <c r="A1246" s="27">
        <v>6</v>
      </c>
      <c r="B1246" s="300" t="s">
        <v>11</v>
      </c>
      <c r="C1246" s="301"/>
      <c r="D1246" s="301"/>
      <c r="E1246" s="302"/>
      <c r="F1246" s="303">
        <v>1857.7</v>
      </c>
      <c r="G1246" s="304"/>
      <c r="H1246" s="285"/>
      <c r="I1246" s="287"/>
      <c r="J1246" s="288"/>
    </row>
    <row r="1247" spans="1:10" ht="11.1" customHeight="1" x14ac:dyDescent="0.3">
      <c r="A1247" s="28">
        <v>7</v>
      </c>
      <c r="B1247" s="306" t="s">
        <v>9</v>
      </c>
      <c r="C1247" s="307"/>
      <c r="D1247" s="307"/>
      <c r="E1247" s="308"/>
      <c r="F1247" s="309">
        <v>0</v>
      </c>
      <c r="G1247" s="310"/>
      <c r="H1247" s="285"/>
      <c r="I1247" s="287"/>
      <c r="J1247" s="288"/>
    </row>
    <row r="1248" spans="1:10" ht="11.1" customHeight="1" x14ac:dyDescent="0.3">
      <c r="A1248" s="255"/>
      <c r="B1248" s="251"/>
      <c r="C1248" s="251"/>
      <c r="D1248" s="251"/>
      <c r="E1248" s="251"/>
      <c r="F1248" s="257"/>
      <c r="G1248" s="258"/>
      <c r="H1248" s="285"/>
      <c r="I1248" s="287"/>
      <c r="J1248" s="288"/>
    </row>
    <row r="1249" spans="1:10" ht="11.1" customHeight="1" x14ac:dyDescent="0.3">
      <c r="A1249" s="315" t="s">
        <v>99</v>
      </c>
      <c r="B1249" s="316"/>
      <c r="C1249" s="316"/>
      <c r="D1249" s="316"/>
      <c r="E1249" s="316"/>
      <c r="F1249" s="316"/>
      <c r="G1249" s="316"/>
      <c r="H1249" s="285"/>
      <c r="I1249" s="287"/>
      <c r="J1249" s="288"/>
    </row>
    <row r="1250" spans="1:10" ht="11.1" customHeight="1" x14ac:dyDescent="0.3">
      <c r="A1250" s="29"/>
      <c r="B1250" s="30"/>
      <c r="C1250" s="29" t="s">
        <v>19</v>
      </c>
      <c r="D1250" s="29"/>
      <c r="E1250" s="29"/>
      <c r="F1250" s="31"/>
      <c r="G1250" s="29" t="s">
        <v>19</v>
      </c>
      <c r="H1250" s="285"/>
      <c r="I1250" s="287"/>
      <c r="J1250" s="288"/>
    </row>
    <row r="1251" spans="1:10" ht="11.1" customHeight="1" x14ac:dyDescent="0.3">
      <c r="A1251" s="24"/>
      <c r="B1251" s="2" t="s">
        <v>1</v>
      </c>
      <c r="C1251" s="24" t="s">
        <v>28</v>
      </c>
      <c r="D1251" s="24" t="s">
        <v>2</v>
      </c>
      <c r="E1251" s="24" t="s">
        <v>16</v>
      </c>
      <c r="F1251" s="32" t="s">
        <v>27</v>
      </c>
      <c r="G1251" s="24" t="s">
        <v>28</v>
      </c>
      <c r="H1251" s="285"/>
      <c r="I1251" s="287"/>
      <c r="J1251" s="288"/>
    </row>
    <row r="1252" spans="1:10" ht="11.1" customHeight="1" x14ac:dyDescent="0.3">
      <c r="A1252" s="33"/>
      <c r="B1252" s="129"/>
      <c r="C1252" s="33" t="s">
        <v>24</v>
      </c>
      <c r="D1252" s="33"/>
      <c r="E1252" s="34"/>
      <c r="F1252" s="35"/>
      <c r="G1252" s="33" t="s">
        <v>30</v>
      </c>
      <c r="H1252" s="285"/>
      <c r="I1252" s="287"/>
      <c r="J1252" s="288"/>
    </row>
    <row r="1253" spans="1:10" ht="11.1" customHeight="1" x14ac:dyDescent="0.3">
      <c r="A1253" s="37" t="s">
        <v>20</v>
      </c>
      <c r="B1253" s="131" t="s">
        <v>33</v>
      </c>
      <c r="C1253" s="42"/>
      <c r="D1253" s="42"/>
      <c r="E1253" s="38"/>
      <c r="F1253" s="38"/>
      <c r="G1253" s="38"/>
      <c r="H1253" s="285"/>
      <c r="I1253" s="287"/>
      <c r="J1253" s="288"/>
    </row>
    <row r="1254" spans="1:10" ht="11.1" customHeight="1" x14ac:dyDescent="0.3">
      <c r="A1254" s="101"/>
      <c r="B1254" s="132" t="s">
        <v>7</v>
      </c>
      <c r="C1254" s="39">
        <v>17950.55</v>
      </c>
      <c r="D1254" s="5">
        <v>162679.99</v>
      </c>
      <c r="E1254" s="5">
        <f>C1254+D1254-G1254</f>
        <v>160280.07999999999</v>
      </c>
      <c r="F1254" s="5"/>
      <c r="G1254" s="5">
        <f>26712.78-6362.32</f>
        <v>20350.46</v>
      </c>
      <c r="H1254" s="285"/>
      <c r="I1254" s="287"/>
      <c r="J1254" s="288"/>
    </row>
    <row r="1255" spans="1:10" ht="11.1" customHeight="1" x14ac:dyDescent="0.3">
      <c r="A1255" s="101"/>
      <c r="B1255" s="132" t="s">
        <v>17</v>
      </c>
      <c r="C1255" s="39">
        <f>D1255/12</f>
        <v>210</v>
      </c>
      <c r="D1255" s="5">
        <v>2520</v>
      </c>
      <c r="E1255" s="5">
        <f>C1255+D1254:D1255-G1255</f>
        <v>2503.1999999999998</v>
      </c>
      <c r="F1255" s="5"/>
      <c r="G1255" s="5">
        <f>D1255*9%</f>
        <v>226.79999999999998</v>
      </c>
      <c r="H1255" s="285"/>
      <c r="I1255" s="287"/>
      <c r="J1255" s="288"/>
    </row>
    <row r="1256" spans="1:10" ht="11.1" customHeight="1" x14ac:dyDescent="0.3">
      <c r="A1256" s="101"/>
      <c r="B1256" s="135" t="s">
        <v>23</v>
      </c>
      <c r="C1256" s="50">
        <f>SUM(C1254:C1255)</f>
        <v>18160.55</v>
      </c>
      <c r="D1256" s="50">
        <f>SUM(D1254:D1255)</f>
        <v>165199.99</v>
      </c>
      <c r="E1256" s="50">
        <f>SUM(E1254:E1255)</f>
        <v>162783.28</v>
      </c>
      <c r="F1256" s="50">
        <f>D1256+1553.06</f>
        <v>166753.04999999999</v>
      </c>
      <c r="G1256" s="50">
        <f>SUM(G1254:G1255)</f>
        <v>20577.259999999998</v>
      </c>
      <c r="H1256" s="285"/>
      <c r="I1256" s="287"/>
      <c r="J1256" s="288"/>
    </row>
    <row r="1257" spans="1:10" ht="11.1" customHeight="1" x14ac:dyDescent="0.3">
      <c r="A1257" s="101"/>
      <c r="B1257" s="135"/>
      <c r="C1257" s="39"/>
      <c r="D1257" s="5"/>
      <c r="E1257" s="5"/>
      <c r="F1257" s="5"/>
      <c r="G1257" s="5"/>
      <c r="H1257" s="285"/>
      <c r="I1257" s="287"/>
      <c r="J1257" s="288"/>
    </row>
    <row r="1258" spans="1:10" ht="11.1" customHeight="1" x14ac:dyDescent="0.3">
      <c r="A1258" s="39">
        <v>2</v>
      </c>
      <c r="B1258" s="152" t="s">
        <v>34</v>
      </c>
      <c r="C1258" s="75">
        <v>0</v>
      </c>
      <c r="D1258" s="50">
        <v>68547.210000000006</v>
      </c>
      <c r="E1258" s="50">
        <f>D1258-G1258</f>
        <v>58317.66</v>
      </c>
      <c r="F1258" s="50">
        <f>D1258</f>
        <v>68547.210000000006</v>
      </c>
      <c r="G1258" s="50">
        <f>6362.32+3739.7+127.53</f>
        <v>10229.550000000001</v>
      </c>
      <c r="H1258" s="285"/>
      <c r="I1258" s="287"/>
      <c r="J1258" s="288"/>
    </row>
    <row r="1259" spans="1:10" ht="11.1" customHeight="1" x14ac:dyDescent="0.3">
      <c r="A1259" s="40"/>
      <c r="B1259" s="40"/>
      <c r="C1259" s="40"/>
      <c r="D1259" s="40"/>
      <c r="E1259" s="40"/>
      <c r="F1259" s="5"/>
      <c r="G1259" s="5"/>
      <c r="H1259" s="285"/>
      <c r="I1259" s="287"/>
      <c r="J1259" s="288"/>
    </row>
    <row r="1260" spans="1:10" ht="11.1" customHeight="1" x14ac:dyDescent="0.3">
      <c r="A1260" s="79" t="s">
        <v>22</v>
      </c>
      <c r="B1260" s="182" t="s">
        <v>50</v>
      </c>
      <c r="C1260" s="80">
        <v>14902.48</v>
      </c>
      <c r="D1260" s="80">
        <v>144009.75</v>
      </c>
      <c r="E1260" s="80">
        <f>C1260+D1260-G1260</f>
        <v>141161.06</v>
      </c>
      <c r="F1260" s="175">
        <v>74513.91</v>
      </c>
      <c r="G1260" s="80">
        <f>21618.4-3739.7-127.53</f>
        <v>17751.170000000002</v>
      </c>
      <c r="H1260" s="285"/>
      <c r="I1260" s="287"/>
      <c r="J1260" s="288"/>
    </row>
    <row r="1261" spans="1:10" ht="11.1" customHeight="1" x14ac:dyDescent="0.3">
      <c r="A1261" s="16"/>
      <c r="B1261" s="202"/>
      <c r="C1261" s="7"/>
      <c r="D1261" s="7"/>
      <c r="E1261" s="7"/>
      <c r="F1261" s="175"/>
      <c r="G1261" s="7"/>
      <c r="H1261" s="285"/>
      <c r="I1261" s="287"/>
      <c r="J1261" s="288"/>
    </row>
    <row r="1262" spans="1:10" ht="11.1" customHeight="1" x14ac:dyDescent="0.3">
      <c r="A1262" s="105"/>
      <c r="B1262" s="200" t="s">
        <v>74</v>
      </c>
      <c r="C1262" s="106">
        <f>C1260+C1258+C1256</f>
        <v>33063.03</v>
      </c>
      <c r="D1262" s="106">
        <f>D1260+D1258+D1256</f>
        <v>377756.95</v>
      </c>
      <c r="E1262" s="106">
        <f>E1260+E1258+E1256</f>
        <v>362262</v>
      </c>
      <c r="F1262" s="106">
        <f>F1260+F1258+F1256</f>
        <v>309814.17</v>
      </c>
      <c r="G1262" s="106">
        <f>G1260+G1258+G1256</f>
        <v>48557.979999999996</v>
      </c>
      <c r="H1262" s="285"/>
      <c r="I1262" s="287"/>
      <c r="J1262" s="288"/>
    </row>
    <row r="1263" spans="1:10" ht="11.1" customHeight="1" x14ac:dyDescent="0.3">
      <c r="A1263" s="130"/>
      <c r="B1263" s="36"/>
      <c r="C1263" s="30"/>
      <c r="D1263" s="36"/>
      <c r="E1263" s="36"/>
      <c r="F1263" s="36"/>
      <c r="G1263" s="44"/>
      <c r="H1263" s="285"/>
      <c r="I1263" s="287"/>
      <c r="J1263" s="288"/>
    </row>
    <row r="1264" spans="1:10" ht="11.1" customHeight="1" x14ac:dyDescent="0.3">
      <c r="A1264" s="318" t="s">
        <v>18</v>
      </c>
      <c r="B1264" s="319"/>
      <c r="C1264" s="319"/>
      <c r="D1264" s="319"/>
      <c r="E1264" s="319"/>
      <c r="F1264" s="319"/>
      <c r="G1264" s="45"/>
      <c r="H1264" s="285"/>
      <c r="I1264" s="287"/>
      <c r="J1264" s="288"/>
    </row>
    <row r="1265" spans="1:10" ht="11.1" customHeight="1" x14ac:dyDescent="0.3">
      <c r="A1265" s="1"/>
      <c r="B1265" s="2"/>
      <c r="C1265" s="29" t="s">
        <v>19</v>
      </c>
      <c r="D1265" s="29"/>
      <c r="E1265" s="29"/>
      <c r="F1265" s="31"/>
      <c r="G1265" s="29" t="s">
        <v>19</v>
      </c>
      <c r="H1265" s="285"/>
      <c r="I1265" s="287"/>
      <c r="J1265" s="288"/>
    </row>
    <row r="1266" spans="1:10" ht="11.1" customHeight="1" x14ac:dyDescent="0.3">
      <c r="A1266" s="1" t="s">
        <v>15</v>
      </c>
      <c r="B1266" s="2" t="s">
        <v>1</v>
      </c>
      <c r="C1266" s="24" t="s">
        <v>28</v>
      </c>
      <c r="D1266" s="24" t="s">
        <v>2</v>
      </c>
      <c r="E1266" s="24" t="s">
        <v>16</v>
      </c>
      <c r="F1266" s="32" t="s">
        <v>27</v>
      </c>
      <c r="G1266" s="24" t="s">
        <v>28</v>
      </c>
      <c r="H1266" s="285"/>
      <c r="I1266" s="287"/>
      <c r="J1266" s="288"/>
    </row>
    <row r="1267" spans="1:10" ht="11.1" customHeight="1" x14ac:dyDescent="0.3">
      <c r="A1267" s="1"/>
      <c r="B1267" s="2"/>
      <c r="C1267" s="33" t="s">
        <v>24</v>
      </c>
      <c r="D1267" s="33"/>
      <c r="E1267" s="34"/>
      <c r="F1267" s="35"/>
      <c r="G1267" s="33" t="s">
        <v>30</v>
      </c>
      <c r="H1267" s="285"/>
      <c r="I1267" s="287"/>
      <c r="J1267" s="288"/>
    </row>
    <row r="1268" spans="1:10" ht="11.1" customHeight="1" x14ac:dyDescent="0.3">
      <c r="A1268" s="47" t="s">
        <v>20</v>
      </c>
      <c r="B1268" s="143" t="s">
        <v>21</v>
      </c>
      <c r="C1268" s="38"/>
      <c r="D1268" s="38"/>
      <c r="E1268" s="38"/>
      <c r="F1268" s="38"/>
      <c r="G1268" s="38"/>
      <c r="H1268" s="285"/>
      <c r="I1268" s="287"/>
      <c r="J1268" s="288"/>
    </row>
    <row r="1269" spans="1:10" ht="11.1" customHeight="1" x14ac:dyDescent="0.3">
      <c r="A1269" s="48"/>
      <c r="B1269" s="40" t="s">
        <v>89</v>
      </c>
      <c r="C1269" s="57">
        <v>35171</v>
      </c>
      <c r="D1269" s="5">
        <v>434093.1</v>
      </c>
      <c r="E1269" s="71">
        <f>C1269+D1269-G1269</f>
        <v>407758.81999999995</v>
      </c>
      <c r="F1269" s="77"/>
      <c r="G1269" s="57">
        <f>61505.28</f>
        <v>61505.279999999999</v>
      </c>
      <c r="H1269" s="285"/>
      <c r="I1269" s="287"/>
      <c r="J1269" s="288"/>
    </row>
    <row r="1270" spans="1:10" ht="11.1" customHeight="1" x14ac:dyDescent="0.3">
      <c r="A1270" s="49"/>
      <c r="B1270" s="40" t="s">
        <v>92</v>
      </c>
      <c r="C1270" s="72">
        <f>6285.22+6330.01</f>
        <v>12615.23</v>
      </c>
      <c r="D1270" s="5">
        <v>119266.07</v>
      </c>
      <c r="E1270" s="71">
        <f>C1270+D1270-G1270</f>
        <v>125698.65000000002</v>
      </c>
      <c r="F1270" s="77"/>
      <c r="G1270" s="57">
        <f>12790.53-6607.88</f>
        <v>6182.6500000000005</v>
      </c>
      <c r="H1270" s="285"/>
      <c r="I1270" s="287"/>
      <c r="J1270" s="288"/>
    </row>
    <row r="1271" spans="1:10" ht="11.1" customHeight="1" x14ac:dyDescent="0.3">
      <c r="A1271" s="49"/>
      <c r="B1271" s="135" t="s">
        <v>23</v>
      </c>
      <c r="C1271" s="50">
        <f>SUM(C1269:C1270)</f>
        <v>47786.229999999996</v>
      </c>
      <c r="D1271" s="50">
        <f>SUM(D1269:D1270)</f>
        <v>553359.16999999993</v>
      </c>
      <c r="E1271" s="50">
        <f>SUM(E1269:E1270)</f>
        <v>533457.47</v>
      </c>
      <c r="F1271" s="50">
        <f>D1271</f>
        <v>553359.16999999993</v>
      </c>
      <c r="G1271" s="50">
        <f>SUM(G1269:G1270)</f>
        <v>67687.929999999993</v>
      </c>
      <c r="H1271" s="285"/>
      <c r="I1271" s="287"/>
      <c r="J1271" s="288"/>
    </row>
    <row r="1272" spans="1:10" ht="11.1" customHeight="1" x14ac:dyDescent="0.3">
      <c r="A1272" s="49"/>
      <c r="B1272" s="138"/>
      <c r="C1272" s="5"/>
      <c r="D1272" s="14"/>
      <c r="E1272" s="5"/>
      <c r="F1272" s="14"/>
      <c r="G1272" s="5"/>
      <c r="H1272" s="285"/>
      <c r="I1272" s="287"/>
      <c r="J1272" s="288"/>
    </row>
    <row r="1273" spans="1:10" ht="11.1" customHeight="1" x14ac:dyDescent="0.3">
      <c r="A1273" s="101" t="s">
        <v>26</v>
      </c>
      <c r="B1273" s="137" t="s">
        <v>29</v>
      </c>
      <c r="C1273" s="50">
        <f>12202.65+7212.77</f>
        <v>19415.419999999998</v>
      </c>
      <c r="D1273" s="50">
        <f>124680.28+70516.18</f>
        <v>195196.46</v>
      </c>
      <c r="E1273" s="50">
        <f>C1273+D1273-G1273</f>
        <v>199476.64</v>
      </c>
      <c r="F1273" s="50">
        <f>D1273</f>
        <v>195196.46</v>
      </c>
      <c r="G1273" s="50">
        <f>9973.51+5161.73</f>
        <v>15135.24</v>
      </c>
      <c r="H1273" s="285"/>
      <c r="I1273" s="287"/>
      <c r="J1273" s="288"/>
    </row>
    <row r="1274" spans="1:10" ht="11.1" customHeight="1" x14ac:dyDescent="0.3">
      <c r="A1274" s="148"/>
      <c r="B1274" s="145"/>
      <c r="C1274" s="5"/>
      <c r="D1274" s="13"/>
      <c r="E1274" s="5"/>
      <c r="F1274" s="5"/>
      <c r="G1274" s="5"/>
      <c r="H1274" s="285"/>
      <c r="I1274" s="287"/>
      <c r="J1274" s="288"/>
    </row>
    <row r="1275" spans="1:10" ht="11.1" customHeight="1" x14ac:dyDescent="0.3">
      <c r="A1275" s="101" t="s">
        <v>22</v>
      </c>
      <c r="B1275" s="183" t="s">
        <v>5</v>
      </c>
      <c r="C1275" s="80">
        <v>2733.62</v>
      </c>
      <c r="D1275" s="190">
        <v>30659.040000000001</v>
      </c>
      <c r="E1275" s="80">
        <f>C1275+D1275-G1275</f>
        <v>29476.600000000002</v>
      </c>
      <c r="F1275" s="80">
        <f>D1275</f>
        <v>30659.040000000001</v>
      </c>
      <c r="G1275" s="80">
        <v>3916.06</v>
      </c>
      <c r="H1275" s="285"/>
      <c r="I1275" s="287"/>
      <c r="J1275" s="288"/>
    </row>
    <row r="1276" spans="1:10" ht="11.1" customHeight="1" x14ac:dyDescent="0.3">
      <c r="A1276" s="1"/>
      <c r="B1276" s="201"/>
      <c r="C1276" s="17"/>
      <c r="D1276" s="107"/>
      <c r="E1276" s="17"/>
      <c r="F1276" s="17"/>
      <c r="G1276" s="17"/>
      <c r="H1276" s="285"/>
      <c r="I1276" s="287"/>
      <c r="J1276" s="288"/>
    </row>
    <row r="1277" spans="1:10" ht="11.1" customHeight="1" x14ac:dyDescent="0.3">
      <c r="A1277" s="105"/>
      <c r="B1277" s="200" t="s">
        <v>74</v>
      </c>
      <c r="C1277" s="106">
        <f>C1275+C1273+C1271</f>
        <v>69935.26999999999</v>
      </c>
      <c r="D1277" s="106">
        <f>D1275+D1273+D1271</f>
        <v>779214.66999999993</v>
      </c>
      <c r="E1277" s="106">
        <f>E1275+E1273+E1271</f>
        <v>762410.71</v>
      </c>
      <c r="F1277" s="106">
        <f>F1275+F1273+F1271</f>
        <v>779214.66999999993</v>
      </c>
      <c r="G1277" s="106">
        <f>G1275+G1273+G1271</f>
        <v>86739.23</v>
      </c>
      <c r="H1277" s="285"/>
      <c r="I1277" s="287"/>
      <c r="J1277" s="288"/>
    </row>
    <row r="1278" spans="1:10" ht="11.1" customHeight="1" x14ac:dyDescent="0.3">
      <c r="A1278" s="148"/>
      <c r="B1278" s="148"/>
      <c r="C1278" s="148"/>
      <c r="D1278" s="148"/>
      <c r="E1278" s="148"/>
      <c r="F1278" s="148"/>
      <c r="G1278" s="148"/>
      <c r="H1278" s="285"/>
      <c r="I1278" s="287"/>
      <c r="J1278" s="288"/>
    </row>
    <row r="1279" spans="1:10" ht="11.1" customHeight="1" x14ac:dyDescent="0.3">
      <c r="A1279" s="148"/>
      <c r="B1279" s="148"/>
      <c r="C1279" s="148"/>
      <c r="D1279" s="148"/>
      <c r="E1279" s="148"/>
      <c r="F1279" s="148"/>
      <c r="G1279" s="148"/>
      <c r="H1279" s="285"/>
      <c r="I1279" s="287"/>
      <c r="J1279" s="288"/>
    </row>
    <row r="1280" spans="1:10" ht="11.1" customHeight="1" x14ac:dyDescent="0.3">
      <c r="A1280" s="148"/>
      <c r="B1280" s="148"/>
      <c r="C1280" s="148"/>
      <c r="D1280" s="148"/>
      <c r="E1280" s="148"/>
      <c r="F1280" s="148"/>
      <c r="G1280" s="148"/>
      <c r="H1280" s="285"/>
      <c r="I1280" s="287"/>
      <c r="J1280" s="288"/>
    </row>
    <row r="1281" spans="1:10" ht="11.1" customHeight="1" x14ac:dyDescent="0.3">
      <c r="A1281" s="148"/>
      <c r="B1281" s="148"/>
      <c r="C1281" s="148"/>
      <c r="D1281" s="148"/>
      <c r="E1281" s="148"/>
      <c r="F1281" s="148"/>
      <c r="G1281" s="148"/>
      <c r="H1281" s="285"/>
      <c r="I1281" s="287"/>
      <c r="J1281" s="288"/>
    </row>
    <row r="1282" spans="1:10" ht="11.1" customHeight="1" x14ac:dyDescent="0.3">
      <c r="A1282" s="148"/>
      <c r="B1282" s="148"/>
      <c r="C1282" s="148"/>
      <c r="D1282" s="148"/>
      <c r="E1282" s="148"/>
      <c r="F1282" s="148"/>
      <c r="G1282" s="148"/>
      <c r="H1282" s="285"/>
      <c r="I1282" s="287"/>
      <c r="J1282" s="288"/>
    </row>
    <row r="1283" spans="1:10" ht="11.1" customHeight="1" x14ac:dyDescent="0.3">
      <c r="A1283" s="148"/>
      <c r="B1283" s="148"/>
      <c r="C1283" s="148"/>
      <c r="D1283" s="148"/>
      <c r="E1283" s="148"/>
      <c r="F1283" s="148"/>
      <c r="G1283" s="148"/>
      <c r="H1283" s="285"/>
      <c r="I1283" s="287"/>
      <c r="J1283" s="288"/>
    </row>
    <row r="1284" spans="1:10" ht="11.1" customHeight="1" x14ac:dyDescent="0.3">
      <c r="A1284" s="148"/>
      <c r="B1284" s="148"/>
      <c r="C1284" s="148"/>
      <c r="D1284" s="148"/>
      <c r="E1284" s="148"/>
      <c r="F1284" s="148"/>
      <c r="G1284" s="148"/>
      <c r="H1284" s="285"/>
      <c r="I1284" s="287"/>
      <c r="J1284" s="288"/>
    </row>
    <row r="1285" spans="1:10" ht="11.1" customHeight="1" x14ac:dyDescent="0.3">
      <c r="A1285" s="148"/>
      <c r="B1285" s="148"/>
      <c r="C1285" s="148"/>
      <c r="D1285" s="148"/>
      <c r="E1285" s="148"/>
      <c r="F1285" s="148"/>
      <c r="G1285" s="148"/>
      <c r="H1285" s="285"/>
      <c r="I1285" s="287"/>
      <c r="J1285" s="288"/>
    </row>
    <row r="1286" spans="1:10" ht="11.1" customHeight="1" x14ac:dyDescent="0.3">
      <c r="A1286" s="148"/>
      <c r="B1286" s="148"/>
      <c r="C1286" s="148"/>
      <c r="D1286" s="148"/>
      <c r="E1286" s="148"/>
      <c r="F1286" s="148"/>
      <c r="G1286" s="148"/>
      <c r="H1286" s="285"/>
      <c r="I1286" s="287"/>
      <c r="J1286" s="288"/>
    </row>
    <row r="1287" spans="1:10" ht="11.1" customHeight="1" x14ac:dyDescent="0.3">
      <c r="A1287" s="148"/>
      <c r="B1287" s="148"/>
      <c r="C1287" s="148"/>
      <c r="D1287" s="148"/>
      <c r="E1287" s="148"/>
      <c r="F1287" s="148"/>
      <c r="G1287" s="148"/>
      <c r="H1287" s="285"/>
      <c r="I1287" s="287"/>
      <c r="J1287" s="288"/>
    </row>
    <row r="1288" spans="1:10" ht="11.1" customHeight="1" x14ac:dyDescent="0.3">
      <c r="A1288" s="305" t="s">
        <v>6</v>
      </c>
      <c r="B1288" s="305"/>
      <c r="C1288" s="305"/>
      <c r="D1288" s="305"/>
      <c r="E1288" s="305"/>
      <c r="F1288" s="305"/>
      <c r="G1288" s="305"/>
      <c r="H1288" s="285"/>
      <c r="I1288" s="287"/>
      <c r="J1288" s="288"/>
    </row>
    <row r="1289" spans="1:10" ht="11.1" customHeight="1" x14ac:dyDescent="0.3">
      <c r="A1289" s="305" t="s">
        <v>35</v>
      </c>
      <c r="B1289" s="305"/>
      <c r="C1289" s="305"/>
      <c r="D1289" s="305"/>
      <c r="E1289" s="305"/>
      <c r="F1289" s="305"/>
      <c r="G1289" s="305"/>
      <c r="H1289" s="285"/>
      <c r="I1289" s="287"/>
      <c r="J1289" s="288"/>
    </row>
    <row r="1290" spans="1:10" ht="11.1" customHeight="1" x14ac:dyDescent="0.3">
      <c r="A1290" s="311" t="s">
        <v>36</v>
      </c>
      <c r="B1290" s="311"/>
      <c r="C1290" s="311"/>
      <c r="D1290" s="311"/>
      <c r="E1290" s="311"/>
      <c r="F1290" s="311"/>
      <c r="G1290" s="311"/>
      <c r="H1290" s="285"/>
      <c r="I1290" s="287"/>
      <c r="J1290" s="288"/>
    </row>
    <row r="1291" spans="1:10" ht="11.1" customHeight="1" x14ac:dyDescent="0.3">
      <c r="A1291" s="312" t="s">
        <v>64</v>
      </c>
      <c r="B1291" s="313"/>
      <c r="C1291" s="313"/>
      <c r="D1291" s="313"/>
      <c r="E1291" s="313"/>
      <c r="F1291" s="313"/>
      <c r="G1291" s="314"/>
      <c r="H1291" s="285"/>
      <c r="I1291" s="287"/>
      <c r="J1291" s="288"/>
    </row>
    <row r="1292" spans="1:10" ht="11.1" customHeight="1" x14ac:dyDescent="0.3">
      <c r="A1292" s="25"/>
      <c r="B1292" s="292" t="s">
        <v>3</v>
      </c>
      <c r="C1292" s="293"/>
      <c r="D1292" s="293"/>
      <c r="E1292" s="293"/>
      <c r="F1292" s="293"/>
      <c r="G1292" s="294"/>
      <c r="H1292" s="285"/>
      <c r="I1292" s="287"/>
      <c r="J1292" s="288"/>
    </row>
    <row r="1293" spans="1:10" ht="11.1" customHeight="1" x14ac:dyDescent="0.3">
      <c r="A1293" s="26">
        <v>1</v>
      </c>
      <c r="B1293" s="295" t="s">
        <v>4</v>
      </c>
      <c r="C1293" s="296"/>
      <c r="D1293" s="296"/>
      <c r="E1293" s="297"/>
      <c r="F1293" s="298">
        <v>1977</v>
      </c>
      <c r="G1293" s="299"/>
      <c r="H1293" s="285"/>
      <c r="I1293" s="287"/>
      <c r="J1293" s="288"/>
    </row>
    <row r="1294" spans="1:10" ht="11.1" customHeight="1" x14ac:dyDescent="0.3">
      <c r="A1294" s="27">
        <v>2</v>
      </c>
      <c r="B1294" s="300" t="s">
        <v>12</v>
      </c>
      <c r="C1294" s="301"/>
      <c r="D1294" s="301"/>
      <c r="E1294" s="302"/>
      <c r="F1294" s="303">
        <v>3</v>
      </c>
      <c r="G1294" s="304"/>
      <c r="H1294" s="285"/>
      <c r="I1294" s="287"/>
      <c r="J1294" s="288"/>
    </row>
    <row r="1295" spans="1:10" ht="11.1" customHeight="1" x14ac:dyDescent="0.3">
      <c r="A1295" s="27">
        <v>3</v>
      </c>
      <c r="B1295" s="300" t="s">
        <v>14</v>
      </c>
      <c r="C1295" s="301"/>
      <c r="D1295" s="301"/>
      <c r="E1295" s="302"/>
      <c r="F1295" s="303">
        <v>3</v>
      </c>
      <c r="G1295" s="304"/>
      <c r="H1295" s="285"/>
      <c r="I1295" s="287"/>
      <c r="J1295" s="288"/>
    </row>
    <row r="1296" spans="1:10" ht="11.1" customHeight="1" x14ac:dyDescent="0.3">
      <c r="A1296" s="27">
        <v>4</v>
      </c>
      <c r="B1296" s="300" t="s">
        <v>13</v>
      </c>
      <c r="C1296" s="301"/>
      <c r="D1296" s="301"/>
      <c r="E1296" s="302"/>
      <c r="F1296" s="303">
        <v>36</v>
      </c>
      <c r="G1296" s="304"/>
      <c r="H1296" s="285"/>
      <c r="I1296" s="287"/>
      <c r="J1296" s="288"/>
    </row>
    <row r="1297" spans="1:10" ht="11.1" customHeight="1" x14ac:dyDescent="0.3">
      <c r="A1297" s="27">
        <v>5</v>
      </c>
      <c r="B1297" s="300" t="s">
        <v>10</v>
      </c>
      <c r="C1297" s="301"/>
      <c r="D1297" s="301"/>
      <c r="E1297" s="302"/>
      <c r="F1297" s="303">
        <v>148.69999999999999</v>
      </c>
      <c r="G1297" s="304"/>
      <c r="H1297" s="285"/>
      <c r="I1297" s="287"/>
      <c r="J1297" s="288"/>
    </row>
    <row r="1298" spans="1:10" ht="11.1" customHeight="1" x14ac:dyDescent="0.3">
      <c r="A1298" s="27">
        <v>6</v>
      </c>
      <c r="B1298" s="300" t="s">
        <v>11</v>
      </c>
      <c r="C1298" s="301"/>
      <c r="D1298" s="301"/>
      <c r="E1298" s="302"/>
      <c r="F1298" s="303">
        <v>1836.6</v>
      </c>
      <c r="G1298" s="304"/>
      <c r="H1298" s="285"/>
      <c r="I1298" s="287"/>
      <c r="J1298" s="288"/>
    </row>
    <row r="1299" spans="1:10" ht="11.1" customHeight="1" x14ac:dyDescent="0.3">
      <c r="A1299" s="28">
        <v>7</v>
      </c>
      <c r="B1299" s="306" t="s">
        <v>9</v>
      </c>
      <c r="C1299" s="307"/>
      <c r="D1299" s="307"/>
      <c r="E1299" s="308"/>
      <c r="F1299" s="309">
        <v>0</v>
      </c>
      <c r="G1299" s="310"/>
      <c r="H1299" s="285"/>
      <c r="I1299" s="287"/>
      <c r="J1299" s="288"/>
    </row>
    <row r="1300" spans="1:10" ht="11.1" customHeight="1" x14ac:dyDescent="0.3">
      <c r="A1300" s="255"/>
      <c r="B1300" s="251"/>
      <c r="C1300" s="251"/>
      <c r="D1300" s="251"/>
      <c r="E1300" s="251"/>
      <c r="F1300" s="256"/>
      <c r="G1300" s="250"/>
      <c r="H1300" s="285"/>
      <c r="I1300" s="287"/>
      <c r="J1300" s="288"/>
    </row>
    <row r="1301" spans="1:10" ht="11.1" customHeight="1" x14ac:dyDescent="0.3">
      <c r="A1301" s="315" t="s">
        <v>99</v>
      </c>
      <c r="B1301" s="316"/>
      <c r="C1301" s="316"/>
      <c r="D1301" s="316"/>
      <c r="E1301" s="316"/>
      <c r="F1301" s="316"/>
      <c r="G1301" s="317"/>
      <c r="H1301" s="285"/>
      <c r="I1301" s="287"/>
      <c r="J1301" s="288"/>
    </row>
    <row r="1302" spans="1:10" ht="11.1" customHeight="1" x14ac:dyDescent="0.3">
      <c r="A1302" s="29"/>
      <c r="B1302" s="30"/>
      <c r="C1302" s="29" t="s">
        <v>19</v>
      </c>
      <c r="D1302" s="29"/>
      <c r="E1302" s="29"/>
      <c r="F1302" s="31"/>
      <c r="G1302" s="29" t="s">
        <v>19</v>
      </c>
      <c r="H1302" s="285"/>
      <c r="I1302" s="287"/>
      <c r="J1302" s="288"/>
    </row>
    <row r="1303" spans="1:10" ht="11.1" customHeight="1" x14ac:dyDescent="0.3">
      <c r="A1303" s="24"/>
      <c r="B1303" s="2" t="s">
        <v>1</v>
      </c>
      <c r="C1303" s="24" t="s">
        <v>28</v>
      </c>
      <c r="D1303" s="24" t="s">
        <v>2</v>
      </c>
      <c r="E1303" s="24" t="s">
        <v>16</v>
      </c>
      <c r="F1303" s="32" t="s">
        <v>27</v>
      </c>
      <c r="G1303" s="24" t="s">
        <v>28</v>
      </c>
      <c r="H1303" s="285"/>
      <c r="I1303" s="287"/>
      <c r="J1303" s="288"/>
    </row>
    <row r="1304" spans="1:10" ht="11.1" customHeight="1" x14ac:dyDescent="0.3">
      <c r="A1304" s="33"/>
      <c r="B1304" s="129"/>
      <c r="C1304" s="33" t="s">
        <v>24</v>
      </c>
      <c r="D1304" s="33"/>
      <c r="E1304" s="34"/>
      <c r="F1304" s="35"/>
      <c r="G1304" s="33" t="s">
        <v>30</v>
      </c>
      <c r="H1304" s="285"/>
      <c r="I1304" s="287"/>
      <c r="J1304" s="288"/>
    </row>
    <row r="1305" spans="1:10" ht="11.1" customHeight="1" x14ac:dyDescent="0.3">
      <c r="A1305" s="37" t="s">
        <v>20</v>
      </c>
      <c r="B1305" s="131" t="s">
        <v>33</v>
      </c>
      <c r="C1305" s="42"/>
      <c r="D1305" s="42"/>
      <c r="E1305" s="38"/>
      <c r="F1305" s="38"/>
      <c r="G1305" s="38"/>
      <c r="H1305" s="285"/>
      <c r="I1305" s="287"/>
      <c r="J1305" s="288"/>
    </row>
    <row r="1306" spans="1:10" ht="11.1" customHeight="1" x14ac:dyDescent="0.3">
      <c r="A1306" s="101"/>
      <c r="B1306" s="132" t="s">
        <v>7</v>
      </c>
      <c r="C1306" s="39">
        <v>38097.97</v>
      </c>
      <c r="D1306" s="5">
        <v>181604.13</v>
      </c>
      <c r="E1306" s="5">
        <f>C1306+D1306-G1306</f>
        <v>185778.99</v>
      </c>
      <c r="F1306" s="5"/>
      <c r="G1306" s="5">
        <f>40937.4-7014.29</f>
        <v>33923.11</v>
      </c>
      <c r="H1306" s="285"/>
      <c r="I1306" s="287"/>
      <c r="J1306" s="288"/>
    </row>
    <row r="1307" spans="1:10" ht="11.1" customHeight="1" x14ac:dyDescent="0.3">
      <c r="A1307" s="101"/>
      <c r="B1307" s="132" t="s">
        <v>17</v>
      </c>
      <c r="C1307" s="39">
        <f>D1307/12</f>
        <v>210</v>
      </c>
      <c r="D1307" s="5">
        <v>2520</v>
      </c>
      <c r="E1307" s="5">
        <f>C1307+D1307-G1307</f>
        <v>2503.1999999999998</v>
      </c>
      <c r="F1307" s="5"/>
      <c r="G1307" s="5">
        <f>D1307*9%</f>
        <v>226.79999999999998</v>
      </c>
      <c r="H1307" s="285"/>
      <c r="I1307" s="287"/>
      <c r="J1307" s="288"/>
    </row>
    <row r="1308" spans="1:10" ht="11.1" customHeight="1" x14ac:dyDescent="0.3">
      <c r="A1308" s="101"/>
      <c r="B1308" s="135" t="s">
        <v>23</v>
      </c>
      <c r="C1308" s="50">
        <f>SUM(C1306:C1307)</f>
        <v>38307.97</v>
      </c>
      <c r="D1308" s="50">
        <f>SUM(D1306:D1307)</f>
        <v>184124.13</v>
      </c>
      <c r="E1308" s="50">
        <f>SUM(E1306:E1307)</f>
        <v>188282.19</v>
      </c>
      <c r="F1308" s="50">
        <f>D1308+5072.94</f>
        <v>189197.07</v>
      </c>
      <c r="G1308" s="50">
        <f>SUM(G1306:G1307)</f>
        <v>34149.910000000003</v>
      </c>
      <c r="H1308" s="285"/>
      <c r="I1308" s="287"/>
      <c r="J1308" s="288"/>
    </row>
    <row r="1309" spans="1:10" ht="11.1" customHeight="1" x14ac:dyDescent="0.3">
      <c r="A1309" s="101"/>
      <c r="B1309" s="135"/>
      <c r="C1309" s="39"/>
      <c r="D1309" s="5"/>
      <c r="E1309" s="5"/>
      <c r="F1309" s="5"/>
      <c r="G1309" s="5"/>
      <c r="H1309" s="285"/>
      <c r="I1309" s="287"/>
      <c r="J1309" s="288"/>
    </row>
    <row r="1310" spans="1:10" ht="11.1" customHeight="1" x14ac:dyDescent="0.3">
      <c r="A1310" s="39">
        <v>2</v>
      </c>
      <c r="B1310" s="152" t="s">
        <v>34</v>
      </c>
      <c r="C1310" s="101">
        <v>0</v>
      </c>
      <c r="D1310" s="50">
        <v>67769.19</v>
      </c>
      <c r="E1310" s="50">
        <f>D1310-G1310</f>
        <v>56491.29</v>
      </c>
      <c r="F1310" s="50">
        <f>D1310</f>
        <v>67769.19</v>
      </c>
      <c r="G1310" s="50">
        <f>7014.29+4110.03+153.58</f>
        <v>11277.9</v>
      </c>
      <c r="H1310" s="285"/>
      <c r="I1310" s="287"/>
      <c r="J1310" s="288"/>
    </row>
    <row r="1311" spans="1:10" ht="11.1" customHeight="1" x14ac:dyDescent="0.3">
      <c r="A1311" s="40"/>
      <c r="B1311" s="40"/>
      <c r="C1311" s="40"/>
      <c r="D1311" s="40"/>
      <c r="E1311" s="40"/>
      <c r="F1311" s="40"/>
      <c r="G1311" s="40"/>
      <c r="H1311" s="285"/>
      <c r="I1311" s="287"/>
      <c r="J1311" s="288"/>
    </row>
    <row r="1312" spans="1:10" ht="11.1" customHeight="1" x14ac:dyDescent="0.3">
      <c r="A1312" s="79" t="s">
        <v>22</v>
      </c>
      <c r="B1312" s="182" t="s">
        <v>50</v>
      </c>
      <c r="C1312" s="80">
        <v>28021.43</v>
      </c>
      <c r="D1312" s="80">
        <v>142374.03</v>
      </c>
      <c r="E1312" s="80">
        <f>C1312+D1312-G1312</f>
        <v>143030.46</v>
      </c>
      <c r="F1312" s="175">
        <v>64382.44</v>
      </c>
      <c r="G1312" s="80">
        <f>31628.61-4110.03-153.58</f>
        <v>27365</v>
      </c>
      <c r="H1312" s="285"/>
      <c r="I1312" s="287"/>
      <c r="J1312" s="288"/>
    </row>
    <row r="1313" spans="1:10" ht="11.1" customHeight="1" x14ac:dyDescent="0.3">
      <c r="A1313" s="16"/>
      <c r="B1313" s="202"/>
      <c r="C1313" s="7"/>
      <c r="D1313" s="7"/>
      <c r="E1313" s="7"/>
      <c r="F1313" s="175"/>
      <c r="G1313" s="7"/>
      <c r="H1313" s="285"/>
      <c r="I1313" s="287"/>
      <c r="J1313" s="288"/>
    </row>
    <row r="1314" spans="1:10" ht="11.1" customHeight="1" x14ac:dyDescent="0.3">
      <c r="A1314" s="108"/>
      <c r="B1314" s="200" t="s">
        <v>74</v>
      </c>
      <c r="C1314" s="106">
        <f>C1312+C1310+C1308</f>
        <v>66329.399999999994</v>
      </c>
      <c r="D1314" s="106">
        <f>D1312+D1310+D1308</f>
        <v>394267.35</v>
      </c>
      <c r="E1314" s="106">
        <f>E1312+E1310+E1308</f>
        <v>387803.94</v>
      </c>
      <c r="F1314" s="106">
        <f>F1312+F1310+F1308</f>
        <v>321348.7</v>
      </c>
      <c r="G1314" s="106">
        <f>G1312+G1310+G1308</f>
        <v>72792.81</v>
      </c>
      <c r="H1314" s="285"/>
      <c r="I1314" s="287"/>
      <c r="J1314" s="288"/>
    </row>
    <row r="1315" spans="1:10" ht="11.1" customHeight="1" x14ac:dyDescent="0.3">
      <c r="A1315" s="130"/>
      <c r="B1315" s="36"/>
      <c r="C1315" s="30"/>
      <c r="D1315" s="36"/>
      <c r="E1315" s="36"/>
      <c r="F1315" s="36"/>
      <c r="G1315" s="44"/>
      <c r="H1315" s="285"/>
      <c r="I1315" s="287"/>
      <c r="J1315" s="288"/>
    </row>
    <row r="1316" spans="1:10" ht="11.1" customHeight="1" x14ac:dyDescent="0.3">
      <c r="A1316" s="318" t="s">
        <v>18</v>
      </c>
      <c r="B1316" s="319"/>
      <c r="C1316" s="319"/>
      <c r="D1316" s="319"/>
      <c r="E1316" s="319"/>
      <c r="F1316" s="319"/>
      <c r="G1316" s="45"/>
      <c r="H1316" s="285"/>
      <c r="I1316" s="287"/>
      <c r="J1316" s="288"/>
    </row>
    <row r="1317" spans="1:10" ht="11.1" customHeight="1" x14ac:dyDescent="0.3">
      <c r="A1317" s="1"/>
      <c r="B1317" s="2"/>
      <c r="C1317" s="29" t="s">
        <v>19</v>
      </c>
      <c r="D1317" s="29"/>
      <c r="E1317" s="29"/>
      <c r="F1317" s="31"/>
      <c r="G1317" s="29" t="s">
        <v>19</v>
      </c>
      <c r="H1317" s="285"/>
      <c r="I1317" s="287"/>
      <c r="J1317" s="288"/>
    </row>
    <row r="1318" spans="1:10" ht="11.1" customHeight="1" x14ac:dyDescent="0.3">
      <c r="A1318" s="1" t="s">
        <v>15</v>
      </c>
      <c r="B1318" s="2" t="s">
        <v>1</v>
      </c>
      <c r="C1318" s="24" t="s">
        <v>28</v>
      </c>
      <c r="D1318" s="24" t="s">
        <v>2</v>
      </c>
      <c r="E1318" s="24" t="s">
        <v>16</v>
      </c>
      <c r="F1318" s="32" t="s">
        <v>27</v>
      </c>
      <c r="G1318" s="24" t="s">
        <v>28</v>
      </c>
      <c r="H1318" s="285"/>
      <c r="I1318" s="287"/>
      <c r="J1318" s="288"/>
    </row>
    <row r="1319" spans="1:10" ht="11.1" customHeight="1" x14ac:dyDescent="0.3">
      <c r="A1319" s="1"/>
      <c r="B1319" s="2"/>
      <c r="C1319" s="33" t="s">
        <v>24</v>
      </c>
      <c r="D1319" s="33"/>
      <c r="E1319" s="34"/>
      <c r="F1319" s="35"/>
      <c r="G1319" s="33" t="s">
        <v>30</v>
      </c>
      <c r="H1319" s="285"/>
      <c r="I1319" s="287"/>
      <c r="J1319" s="288"/>
    </row>
    <row r="1320" spans="1:10" ht="11.1" customHeight="1" x14ac:dyDescent="0.3">
      <c r="A1320" s="4" t="s">
        <v>0</v>
      </c>
      <c r="B1320" s="8"/>
      <c r="C1320" s="4"/>
      <c r="D1320" s="4"/>
      <c r="E1320" s="4"/>
      <c r="F1320" s="12"/>
      <c r="G1320" s="9"/>
      <c r="H1320" s="285"/>
      <c r="I1320" s="287"/>
      <c r="J1320" s="288"/>
    </row>
    <row r="1321" spans="1:10" ht="11.1" customHeight="1" x14ac:dyDescent="0.3">
      <c r="A1321" s="47" t="s">
        <v>20</v>
      </c>
      <c r="B1321" s="143" t="s">
        <v>21</v>
      </c>
      <c r="C1321" s="38"/>
      <c r="D1321" s="38"/>
      <c r="E1321" s="38"/>
      <c r="F1321" s="38"/>
      <c r="G1321" s="38"/>
      <c r="H1321" s="285"/>
      <c r="I1321" s="287"/>
      <c r="J1321" s="288"/>
    </row>
    <row r="1322" spans="1:10" ht="11.1" customHeight="1" x14ac:dyDescent="0.3">
      <c r="A1322" s="48"/>
      <c r="B1322" s="40" t="s">
        <v>84</v>
      </c>
      <c r="C1322" s="53">
        <v>67079.89</v>
      </c>
      <c r="D1322" s="5">
        <v>417448.04</v>
      </c>
      <c r="E1322" s="56">
        <f>C1322+D1322-G1322</f>
        <v>393533.35</v>
      </c>
      <c r="F1322" s="76"/>
      <c r="G1322" s="53">
        <v>90994.58</v>
      </c>
      <c r="H1322" s="285"/>
      <c r="I1322" s="287"/>
      <c r="J1322" s="288"/>
    </row>
    <row r="1323" spans="1:10" ht="11.1" customHeight="1" x14ac:dyDescent="0.3">
      <c r="A1323" s="49"/>
      <c r="B1323" s="40" t="s">
        <v>78</v>
      </c>
      <c r="C1323" s="56">
        <f>5398.54+20008.77+4877.61-74.35</f>
        <v>30210.570000000003</v>
      </c>
      <c r="D1323" s="5">
        <v>130935.6</v>
      </c>
      <c r="E1323" s="56">
        <f>C1323+D1323-G1323</f>
        <v>125694.23000000001</v>
      </c>
      <c r="F1323" s="76"/>
      <c r="G1323" s="56">
        <f>30435.49+5090.8-74.35</f>
        <v>35451.94</v>
      </c>
      <c r="H1323" s="285"/>
      <c r="I1323" s="287"/>
      <c r="J1323" s="288"/>
    </row>
    <row r="1324" spans="1:10" ht="11.1" customHeight="1" x14ac:dyDescent="0.3">
      <c r="A1324" s="49"/>
      <c r="B1324" s="135" t="s">
        <v>23</v>
      </c>
      <c r="C1324" s="50">
        <f>SUM(C1322:C1323)</f>
        <v>97290.46</v>
      </c>
      <c r="D1324" s="50">
        <f>SUM(D1322:D1323)</f>
        <v>548383.64</v>
      </c>
      <c r="E1324" s="50">
        <f>SUM(E1322:E1323)</f>
        <v>519227.57999999996</v>
      </c>
      <c r="F1324" s="50">
        <v>549804.62</v>
      </c>
      <c r="G1324" s="50">
        <f>SUM(G1322:G1323)</f>
        <v>126446.52</v>
      </c>
      <c r="H1324" s="285"/>
      <c r="I1324" s="287"/>
      <c r="J1324" s="288"/>
    </row>
    <row r="1325" spans="1:10" ht="11.1" customHeight="1" x14ac:dyDescent="0.3">
      <c r="A1325" s="49"/>
      <c r="B1325" s="138"/>
      <c r="C1325" s="5"/>
      <c r="D1325" s="14"/>
      <c r="E1325" s="5"/>
      <c r="F1325" s="14"/>
      <c r="G1325" s="5"/>
      <c r="H1325" s="285"/>
      <c r="I1325" s="287"/>
      <c r="J1325" s="288"/>
    </row>
    <row r="1326" spans="1:10" ht="11.1" customHeight="1" x14ac:dyDescent="0.3">
      <c r="A1326" s="101" t="s">
        <v>26</v>
      </c>
      <c r="B1326" s="137" t="s">
        <v>29</v>
      </c>
      <c r="C1326" s="50">
        <f>31688.58+16679.67</f>
        <v>48368.25</v>
      </c>
      <c r="D1326" s="50">
        <f>152293.08+80326.88</f>
        <v>232619.96</v>
      </c>
      <c r="E1326" s="50">
        <f>C1326+D1326-G1326</f>
        <v>223680.76999999996</v>
      </c>
      <c r="F1326" s="50">
        <f>D1326</f>
        <v>232619.96</v>
      </c>
      <c r="G1326" s="50">
        <f>37454.74+19852.7</f>
        <v>57307.44</v>
      </c>
      <c r="H1326" s="285"/>
      <c r="I1326" s="287"/>
      <c r="J1326" s="288"/>
    </row>
    <row r="1327" spans="1:10" ht="11.1" customHeight="1" x14ac:dyDescent="0.3">
      <c r="A1327" s="101"/>
      <c r="B1327" s="145"/>
      <c r="C1327" s="5"/>
      <c r="D1327" s="13"/>
      <c r="E1327" s="5"/>
      <c r="F1327" s="5"/>
      <c r="G1327" s="5"/>
      <c r="H1327" s="285"/>
      <c r="I1327" s="287"/>
      <c r="J1327" s="288"/>
    </row>
    <row r="1328" spans="1:10" ht="11.1" customHeight="1" x14ac:dyDescent="0.3">
      <c r="A1328" s="101">
        <v>3</v>
      </c>
      <c r="B1328" s="145" t="s">
        <v>5</v>
      </c>
      <c r="C1328" s="50">
        <v>4220.08</v>
      </c>
      <c r="D1328" s="78">
        <v>30658.799999999999</v>
      </c>
      <c r="E1328" s="50">
        <f>C1328+D1328-G1328</f>
        <v>29427.799999999996</v>
      </c>
      <c r="F1328" s="50">
        <f>D1328</f>
        <v>30658.799999999999</v>
      </c>
      <c r="G1328" s="50">
        <v>5451.08</v>
      </c>
      <c r="H1328" s="285"/>
      <c r="I1328" s="287"/>
      <c r="J1328" s="288"/>
    </row>
    <row r="1329" spans="1:10" ht="11.1" customHeight="1" x14ac:dyDescent="0.3">
      <c r="A1329" s="41"/>
      <c r="B1329" s="146"/>
      <c r="C1329" s="10"/>
      <c r="D1329" s="15"/>
      <c r="E1329" s="10"/>
      <c r="F1329" s="10"/>
      <c r="G1329" s="10"/>
      <c r="H1329" s="285"/>
      <c r="I1329" s="287"/>
      <c r="J1329" s="288"/>
    </row>
    <row r="1330" spans="1:10" ht="11.1" customHeight="1" x14ac:dyDescent="0.3">
      <c r="A1330" s="203"/>
      <c r="B1330" s="204" t="s">
        <v>74</v>
      </c>
      <c r="C1330" s="205">
        <f>C1328+C1326+C1324</f>
        <v>149878.79</v>
      </c>
      <c r="D1330" s="205">
        <f>D1328+D1326+D1324</f>
        <v>811662.4</v>
      </c>
      <c r="E1330" s="205">
        <f>E1328+E1326+E1324</f>
        <v>772336.14999999991</v>
      </c>
      <c r="F1330" s="205">
        <f>F1328+F1326+F1324</f>
        <v>813083.38</v>
      </c>
      <c r="G1330" s="205">
        <f>G1328+G1326+G1324</f>
        <v>189205.04</v>
      </c>
      <c r="H1330" s="285"/>
      <c r="I1330" s="287"/>
      <c r="J1330" s="288"/>
    </row>
    <row r="1331" spans="1:10" ht="11.1" customHeight="1" x14ac:dyDescent="0.3">
      <c r="A1331" s="206"/>
      <c r="B1331" s="125"/>
      <c r="C1331" s="126"/>
      <c r="D1331" s="126"/>
      <c r="E1331" s="126"/>
      <c r="F1331" s="126"/>
      <c r="G1331" s="126"/>
      <c r="H1331" s="285"/>
      <c r="I1331" s="287"/>
      <c r="J1331" s="288"/>
    </row>
    <row r="1332" spans="1:10" ht="11.1" customHeight="1" x14ac:dyDescent="0.3">
      <c r="A1332" s="148"/>
      <c r="B1332" s="148"/>
      <c r="C1332" s="148"/>
      <c r="D1332" s="148"/>
      <c r="E1332" s="148"/>
      <c r="F1332" s="148"/>
      <c r="G1332" s="148"/>
      <c r="H1332" s="285"/>
      <c r="I1332" s="287"/>
      <c r="J1332" s="288"/>
    </row>
    <row r="1333" spans="1:10" ht="11.1" customHeight="1" x14ac:dyDescent="0.3">
      <c r="A1333" s="148"/>
      <c r="B1333" s="148"/>
      <c r="C1333" s="148"/>
      <c r="D1333" s="148"/>
      <c r="E1333" s="148"/>
      <c r="F1333" s="148"/>
      <c r="G1333" s="148"/>
      <c r="H1333" s="285"/>
      <c r="I1333" s="287"/>
      <c r="J1333" s="288"/>
    </row>
    <row r="1334" spans="1:10" ht="11.1" customHeight="1" x14ac:dyDescent="0.3">
      <c r="A1334" s="148"/>
      <c r="B1334" s="148"/>
      <c r="C1334" s="148"/>
      <c r="D1334" s="148"/>
      <c r="E1334" s="148"/>
      <c r="F1334" s="148"/>
      <c r="G1334" s="148"/>
      <c r="H1334" s="285"/>
      <c r="I1334" s="287"/>
      <c r="J1334" s="288"/>
    </row>
    <row r="1335" spans="1:10" ht="11.1" customHeight="1" x14ac:dyDescent="0.3">
      <c r="A1335" s="148"/>
      <c r="B1335" s="148"/>
      <c r="C1335" s="148"/>
      <c r="D1335" s="148"/>
      <c r="E1335" s="148"/>
      <c r="F1335" s="148"/>
      <c r="G1335" s="148"/>
      <c r="H1335" s="285"/>
      <c r="I1335" s="287"/>
      <c r="J1335" s="288"/>
    </row>
    <row r="1336" spans="1:10" ht="11.1" customHeight="1" x14ac:dyDescent="0.3">
      <c r="A1336" s="148"/>
      <c r="B1336" s="148"/>
      <c r="C1336" s="148"/>
      <c r="D1336" s="148"/>
      <c r="E1336" s="148"/>
      <c r="F1336" s="148"/>
      <c r="G1336" s="148"/>
      <c r="H1336" s="285"/>
      <c r="I1336" s="287"/>
      <c r="J1336" s="288"/>
    </row>
    <row r="1337" spans="1:10" ht="11.1" customHeight="1" x14ac:dyDescent="0.3">
      <c r="A1337" s="148"/>
      <c r="B1337" s="148"/>
      <c r="C1337" s="148"/>
      <c r="D1337" s="148"/>
      <c r="E1337" s="148"/>
      <c r="F1337" s="148"/>
      <c r="G1337" s="148"/>
      <c r="H1337" s="285"/>
      <c r="I1337" s="287"/>
      <c r="J1337" s="288"/>
    </row>
    <row r="1338" spans="1:10" ht="11.1" customHeight="1" x14ac:dyDescent="0.3">
      <c r="A1338" s="148"/>
      <c r="B1338" s="148"/>
      <c r="C1338" s="148"/>
      <c r="D1338" s="148"/>
      <c r="E1338" s="148"/>
      <c r="F1338" s="148"/>
      <c r="G1338" s="148"/>
      <c r="H1338" s="285"/>
      <c r="I1338" s="287"/>
      <c r="J1338" s="288"/>
    </row>
    <row r="1339" spans="1:10" ht="11.1" customHeight="1" x14ac:dyDescent="0.3">
      <c r="A1339" s="148"/>
      <c r="B1339" s="148"/>
      <c r="C1339" s="148"/>
      <c r="D1339" s="148"/>
      <c r="E1339" s="148"/>
      <c r="F1339" s="148"/>
      <c r="G1339" s="148"/>
      <c r="H1339" s="285"/>
      <c r="I1339" s="287"/>
      <c r="J1339" s="288"/>
    </row>
    <row r="1340" spans="1:10" ht="11.1" customHeight="1" x14ac:dyDescent="0.3">
      <c r="A1340" s="148"/>
      <c r="B1340" s="148"/>
      <c r="C1340" s="148"/>
      <c r="D1340" s="148"/>
      <c r="E1340" s="148"/>
      <c r="F1340" s="148"/>
      <c r="G1340" s="148"/>
      <c r="H1340" s="285"/>
      <c r="I1340" s="287"/>
      <c r="J1340" s="288"/>
    </row>
    <row r="1341" spans="1:10" ht="11.1" customHeight="1" x14ac:dyDescent="0.3">
      <c r="A1341" s="305" t="s">
        <v>6</v>
      </c>
      <c r="B1341" s="305"/>
      <c r="C1341" s="305"/>
      <c r="D1341" s="305"/>
      <c r="E1341" s="305"/>
      <c r="F1341" s="305"/>
      <c r="G1341" s="305"/>
      <c r="H1341" s="285"/>
      <c r="I1341" s="287"/>
      <c r="J1341" s="288"/>
    </row>
    <row r="1342" spans="1:10" ht="11.1" customHeight="1" x14ac:dyDescent="0.3">
      <c r="A1342" s="305" t="s">
        <v>35</v>
      </c>
      <c r="B1342" s="305"/>
      <c r="C1342" s="305"/>
      <c r="D1342" s="305"/>
      <c r="E1342" s="305"/>
      <c r="F1342" s="305"/>
      <c r="G1342" s="305"/>
      <c r="H1342" s="285"/>
      <c r="I1342" s="287"/>
      <c r="J1342" s="288"/>
    </row>
    <row r="1343" spans="1:10" ht="11.1" customHeight="1" x14ac:dyDescent="0.3">
      <c r="A1343" s="311" t="s">
        <v>36</v>
      </c>
      <c r="B1343" s="311"/>
      <c r="C1343" s="311"/>
      <c r="D1343" s="311"/>
      <c r="E1343" s="311"/>
      <c r="F1343" s="311"/>
      <c r="G1343" s="311"/>
      <c r="H1343" s="285"/>
      <c r="I1343" s="287"/>
      <c r="J1343" s="288"/>
    </row>
    <row r="1344" spans="1:10" ht="11.1" customHeight="1" x14ac:dyDescent="0.3">
      <c r="A1344" s="312" t="s">
        <v>65</v>
      </c>
      <c r="B1344" s="313"/>
      <c r="C1344" s="313"/>
      <c r="D1344" s="313"/>
      <c r="E1344" s="313"/>
      <c r="F1344" s="313"/>
      <c r="G1344" s="314"/>
      <c r="H1344" s="285"/>
      <c r="I1344" s="287"/>
      <c r="J1344" s="288"/>
    </row>
    <row r="1345" spans="1:10" ht="11.1" customHeight="1" x14ac:dyDescent="0.3">
      <c r="A1345" s="25"/>
      <c r="B1345" s="292" t="s">
        <v>3</v>
      </c>
      <c r="C1345" s="293"/>
      <c r="D1345" s="293"/>
      <c r="E1345" s="293"/>
      <c r="F1345" s="293"/>
      <c r="G1345" s="294"/>
      <c r="H1345" s="285"/>
      <c r="I1345" s="287"/>
      <c r="J1345" s="288"/>
    </row>
    <row r="1346" spans="1:10" ht="11.1" customHeight="1" x14ac:dyDescent="0.3">
      <c r="A1346" s="26">
        <v>1</v>
      </c>
      <c r="B1346" s="295" t="s">
        <v>4</v>
      </c>
      <c r="C1346" s="296"/>
      <c r="D1346" s="296"/>
      <c r="E1346" s="297"/>
      <c r="F1346" s="298">
        <v>1993</v>
      </c>
      <c r="G1346" s="299"/>
      <c r="H1346" s="285"/>
      <c r="I1346" s="287"/>
      <c r="J1346" s="288"/>
    </row>
    <row r="1347" spans="1:10" ht="11.1" customHeight="1" x14ac:dyDescent="0.3">
      <c r="A1347" s="27">
        <v>2</v>
      </c>
      <c r="B1347" s="300" t="s">
        <v>12</v>
      </c>
      <c r="C1347" s="301"/>
      <c r="D1347" s="301"/>
      <c r="E1347" s="302"/>
      <c r="F1347" s="303">
        <v>5</v>
      </c>
      <c r="G1347" s="304"/>
      <c r="I1347" s="287"/>
      <c r="J1347" s="288"/>
    </row>
    <row r="1348" spans="1:10" ht="11.1" customHeight="1" x14ac:dyDescent="0.3">
      <c r="A1348" s="27">
        <v>3</v>
      </c>
      <c r="B1348" s="300" t="s">
        <v>14</v>
      </c>
      <c r="C1348" s="301"/>
      <c r="D1348" s="301"/>
      <c r="E1348" s="302"/>
      <c r="F1348" s="303">
        <v>2</v>
      </c>
      <c r="G1348" s="304"/>
      <c r="H1348" s="285"/>
      <c r="I1348" s="287"/>
      <c r="J1348" s="288"/>
    </row>
    <row r="1349" spans="1:10" ht="11.1" customHeight="1" x14ac:dyDescent="0.3">
      <c r="A1349" s="27">
        <v>4</v>
      </c>
      <c r="B1349" s="300" t="s">
        <v>13</v>
      </c>
      <c r="C1349" s="301"/>
      <c r="D1349" s="301"/>
      <c r="E1349" s="302"/>
      <c r="F1349" s="303">
        <v>30</v>
      </c>
      <c r="G1349" s="304"/>
      <c r="H1349" s="285"/>
      <c r="I1349" s="287"/>
      <c r="J1349" s="288"/>
    </row>
    <row r="1350" spans="1:10" ht="11.1" customHeight="1" x14ac:dyDescent="0.3">
      <c r="A1350" s="27">
        <v>5</v>
      </c>
      <c r="B1350" s="300" t="s">
        <v>10</v>
      </c>
      <c r="C1350" s="301"/>
      <c r="D1350" s="301"/>
      <c r="E1350" s="302"/>
      <c r="F1350" s="303">
        <v>151</v>
      </c>
      <c r="G1350" s="304"/>
      <c r="H1350" s="285"/>
      <c r="I1350" s="287"/>
      <c r="J1350" s="288"/>
    </row>
    <row r="1351" spans="1:10" ht="11.1" customHeight="1" x14ac:dyDescent="0.3">
      <c r="A1351" s="27">
        <v>6</v>
      </c>
      <c r="B1351" s="300" t="s">
        <v>11</v>
      </c>
      <c r="C1351" s="301"/>
      <c r="D1351" s="301"/>
      <c r="E1351" s="302"/>
      <c r="F1351" s="303">
        <v>1393.39</v>
      </c>
      <c r="G1351" s="304"/>
      <c r="H1351" s="285"/>
      <c r="I1351" s="287"/>
      <c r="J1351" s="288"/>
    </row>
    <row r="1352" spans="1:10" ht="11.1" customHeight="1" x14ac:dyDescent="0.3">
      <c r="A1352" s="28">
        <v>7</v>
      </c>
      <c r="B1352" s="306" t="s">
        <v>9</v>
      </c>
      <c r="C1352" s="307"/>
      <c r="D1352" s="307"/>
      <c r="E1352" s="308"/>
      <c r="F1352" s="309">
        <v>0</v>
      </c>
      <c r="G1352" s="310"/>
      <c r="H1352" s="285"/>
      <c r="I1352" s="287"/>
      <c r="J1352" s="288"/>
    </row>
    <row r="1353" spans="1:10" ht="11.1" customHeight="1" x14ac:dyDescent="0.3">
      <c r="A1353" s="255"/>
      <c r="B1353" s="251"/>
      <c r="C1353" s="251"/>
      <c r="D1353" s="251"/>
      <c r="E1353" s="251"/>
      <c r="F1353" s="256"/>
      <c r="G1353" s="250"/>
      <c r="H1353" s="285"/>
      <c r="I1353" s="287"/>
      <c r="J1353" s="288"/>
    </row>
    <row r="1354" spans="1:10" ht="11.1" customHeight="1" x14ac:dyDescent="0.3">
      <c r="A1354" s="315" t="s">
        <v>99</v>
      </c>
      <c r="B1354" s="316"/>
      <c r="C1354" s="316"/>
      <c r="D1354" s="316"/>
      <c r="E1354" s="316"/>
      <c r="F1354" s="316"/>
      <c r="G1354" s="317"/>
      <c r="H1354" s="285"/>
      <c r="I1354" s="287"/>
      <c r="J1354" s="288"/>
    </row>
    <row r="1355" spans="1:10" ht="11.1" customHeight="1" x14ac:dyDescent="0.3">
      <c r="A1355" s="29"/>
      <c r="B1355" s="30"/>
      <c r="C1355" s="29" t="s">
        <v>19</v>
      </c>
      <c r="D1355" s="29"/>
      <c r="E1355" s="29"/>
      <c r="F1355" s="31"/>
      <c r="G1355" s="29" t="s">
        <v>19</v>
      </c>
      <c r="H1355" s="285"/>
      <c r="I1355" s="287"/>
      <c r="J1355" s="288"/>
    </row>
    <row r="1356" spans="1:10" ht="11.1" customHeight="1" x14ac:dyDescent="0.3">
      <c r="A1356" s="24"/>
      <c r="B1356" s="2" t="s">
        <v>1</v>
      </c>
      <c r="C1356" s="24" t="s">
        <v>28</v>
      </c>
      <c r="D1356" s="24" t="s">
        <v>2</v>
      </c>
      <c r="E1356" s="24" t="s">
        <v>16</v>
      </c>
      <c r="F1356" s="32" t="s">
        <v>27</v>
      </c>
      <c r="G1356" s="24" t="s">
        <v>28</v>
      </c>
      <c r="H1356" s="285"/>
      <c r="I1356" s="287"/>
      <c r="J1356" s="288"/>
    </row>
    <row r="1357" spans="1:10" ht="11.1" customHeight="1" x14ac:dyDescent="0.3">
      <c r="A1357" s="33"/>
      <c r="B1357" s="129"/>
      <c r="C1357" s="33" t="s">
        <v>24</v>
      </c>
      <c r="D1357" s="33"/>
      <c r="E1357" s="34"/>
      <c r="F1357" s="35"/>
      <c r="G1357" s="33" t="s">
        <v>30</v>
      </c>
      <c r="H1357" s="285"/>
      <c r="I1357" s="287"/>
      <c r="J1357" s="288"/>
    </row>
    <row r="1358" spans="1:10" ht="11.1" customHeight="1" x14ac:dyDescent="0.3">
      <c r="A1358" s="37" t="s">
        <v>20</v>
      </c>
      <c r="B1358" s="131" t="s">
        <v>33</v>
      </c>
      <c r="C1358" s="42"/>
      <c r="D1358" s="42"/>
      <c r="E1358" s="38"/>
      <c r="F1358" s="38"/>
      <c r="G1358" s="38"/>
      <c r="H1358" s="285"/>
      <c r="I1358" s="287"/>
      <c r="J1358" s="288"/>
    </row>
    <row r="1359" spans="1:10" ht="11.1" customHeight="1" x14ac:dyDescent="0.3">
      <c r="A1359" s="101"/>
      <c r="B1359" s="132" t="s">
        <v>7</v>
      </c>
      <c r="C1359" s="39">
        <v>31320.04</v>
      </c>
      <c r="D1359" s="5">
        <v>127048.5</v>
      </c>
      <c r="E1359" s="5">
        <f>C1359+D1359-G1359</f>
        <v>132717.51</v>
      </c>
      <c r="F1359" s="5"/>
      <c r="G1359" s="5">
        <f>30590.93-4939.9</f>
        <v>25651.03</v>
      </c>
      <c r="H1359" s="285"/>
      <c r="I1359" s="287"/>
      <c r="J1359" s="288"/>
    </row>
    <row r="1360" spans="1:10" ht="11.1" customHeight="1" x14ac:dyDescent="0.3">
      <c r="A1360" s="101"/>
      <c r="B1360" s="132" t="s">
        <v>17</v>
      </c>
      <c r="C1360" s="39">
        <f>D1360/12</f>
        <v>340</v>
      </c>
      <c r="D1360" s="5">
        <v>4080</v>
      </c>
      <c r="E1360" s="5">
        <f>C1360+D1360-G1360</f>
        <v>4052.8</v>
      </c>
      <c r="F1360" s="5"/>
      <c r="G1360" s="5">
        <f>D1360*9%</f>
        <v>367.2</v>
      </c>
      <c r="H1360" s="285"/>
      <c r="I1360" s="287"/>
      <c r="J1360" s="288"/>
    </row>
    <row r="1361" spans="1:10" ht="11.1" customHeight="1" x14ac:dyDescent="0.3">
      <c r="A1361" s="101"/>
      <c r="B1361" s="135" t="s">
        <v>23</v>
      </c>
      <c r="C1361" s="101">
        <f>SUM(C1359:C1360)</f>
        <v>31660.04</v>
      </c>
      <c r="D1361" s="50">
        <f>SUM(D1359:D1360)</f>
        <v>131128.5</v>
      </c>
      <c r="E1361" s="50">
        <f>SUM(E1359:E1360)</f>
        <v>136770.31</v>
      </c>
      <c r="F1361" s="50">
        <f>D1361+1387.36</f>
        <v>132515.85999999999</v>
      </c>
      <c r="G1361" s="50">
        <f>SUM(G1359:G1360)</f>
        <v>26018.23</v>
      </c>
      <c r="H1361" s="285"/>
      <c r="I1361" s="287"/>
      <c r="J1361" s="288"/>
    </row>
    <row r="1362" spans="1:10" ht="11.1" customHeight="1" x14ac:dyDescent="0.3">
      <c r="A1362" s="101"/>
      <c r="B1362" s="135"/>
      <c r="C1362" s="39"/>
      <c r="D1362" s="5"/>
      <c r="E1362" s="5"/>
      <c r="F1362" s="5"/>
      <c r="G1362" s="5"/>
      <c r="H1362" s="285"/>
      <c r="I1362" s="287"/>
      <c r="J1362" s="288"/>
    </row>
    <row r="1363" spans="1:10" ht="11.1" customHeight="1" x14ac:dyDescent="0.3">
      <c r="A1363" s="39">
        <v>2</v>
      </c>
      <c r="B1363" s="152" t="s">
        <v>34</v>
      </c>
      <c r="C1363" s="75">
        <v>0</v>
      </c>
      <c r="D1363" s="50">
        <v>51415</v>
      </c>
      <c r="E1363" s="50">
        <f>D1363-G1363</f>
        <v>43472.43</v>
      </c>
      <c r="F1363" s="50">
        <f>D1363</f>
        <v>51415</v>
      </c>
      <c r="G1363" s="50">
        <f>4939.9+2866.26+136.41</f>
        <v>7942.57</v>
      </c>
      <c r="H1363" s="285"/>
      <c r="I1363" s="287"/>
      <c r="J1363" s="288"/>
    </row>
    <row r="1364" spans="1:10" ht="11.1" customHeight="1" x14ac:dyDescent="0.3">
      <c r="A1364" s="109"/>
      <c r="B1364" s="109"/>
      <c r="C1364" s="109"/>
      <c r="D1364" s="109"/>
      <c r="E1364" s="109"/>
      <c r="F1364" s="109"/>
      <c r="G1364" s="109"/>
      <c r="H1364" s="285"/>
      <c r="I1364" s="287"/>
      <c r="J1364" s="288"/>
    </row>
    <row r="1365" spans="1:10" ht="11.1" customHeight="1" x14ac:dyDescent="0.3">
      <c r="A1365" s="110" t="s">
        <v>22</v>
      </c>
      <c r="B1365" s="247" t="s">
        <v>50</v>
      </c>
      <c r="C1365" s="63">
        <v>25983.45</v>
      </c>
      <c r="D1365" s="63">
        <v>108014.58</v>
      </c>
      <c r="E1365" s="63">
        <f>C1365+D1365-G1365</f>
        <v>112654.74</v>
      </c>
      <c r="F1365" s="63">
        <v>54160.69</v>
      </c>
      <c r="G1365" s="63">
        <f>24345.96-2866.26-136.41</f>
        <v>21343.289999999997</v>
      </c>
      <c r="H1365" s="285"/>
      <c r="I1365" s="287"/>
      <c r="J1365" s="288"/>
    </row>
    <row r="1366" spans="1:10" ht="11.1" customHeight="1" x14ac:dyDescent="0.3">
      <c r="A1366" s="246"/>
      <c r="B1366" s="207"/>
      <c r="C1366" s="66"/>
      <c r="D1366" s="66"/>
      <c r="E1366" s="66"/>
      <c r="F1366" s="66"/>
      <c r="G1366" s="66"/>
      <c r="H1366" s="285"/>
      <c r="I1366" s="287"/>
      <c r="J1366" s="288"/>
    </row>
    <row r="1367" spans="1:10" ht="11.1" customHeight="1" x14ac:dyDescent="0.3">
      <c r="A1367" s="81"/>
      <c r="B1367" s="82" t="s">
        <v>74</v>
      </c>
      <c r="C1367" s="90">
        <f>C1365+C1363+C1361</f>
        <v>57643.490000000005</v>
      </c>
      <c r="D1367" s="90">
        <f>D1365+D1363+D1361</f>
        <v>290558.08000000002</v>
      </c>
      <c r="E1367" s="90">
        <f>E1365+E1363+E1361</f>
        <v>292897.48</v>
      </c>
      <c r="F1367" s="90">
        <f>F1365+F1363+F1361</f>
        <v>238091.55</v>
      </c>
      <c r="G1367" s="90">
        <f>G1365+G1363+G1361</f>
        <v>55304.09</v>
      </c>
      <c r="H1367" s="285"/>
      <c r="I1367" s="287"/>
      <c r="J1367" s="288"/>
    </row>
    <row r="1368" spans="1:10" ht="11.1" customHeight="1" x14ac:dyDescent="0.3">
      <c r="A1368" s="130"/>
      <c r="B1368" s="36"/>
      <c r="C1368" s="30"/>
      <c r="D1368" s="36"/>
      <c r="E1368" s="36"/>
      <c r="F1368" s="36"/>
      <c r="G1368" s="44"/>
      <c r="H1368" s="285"/>
      <c r="I1368" s="287"/>
      <c r="J1368" s="288"/>
    </row>
    <row r="1369" spans="1:10" ht="11.1" customHeight="1" x14ac:dyDescent="0.3">
      <c r="A1369" s="318" t="s">
        <v>18</v>
      </c>
      <c r="B1369" s="319"/>
      <c r="C1369" s="319"/>
      <c r="D1369" s="319"/>
      <c r="E1369" s="319"/>
      <c r="F1369" s="319"/>
      <c r="G1369" s="45"/>
      <c r="H1369" s="285"/>
      <c r="I1369" s="287"/>
      <c r="J1369" s="288"/>
    </row>
    <row r="1370" spans="1:10" ht="11.1" customHeight="1" x14ac:dyDescent="0.3">
      <c r="A1370" s="1"/>
      <c r="B1370" s="2"/>
      <c r="C1370" s="29" t="s">
        <v>19</v>
      </c>
      <c r="D1370" s="29"/>
      <c r="E1370" s="29"/>
      <c r="F1370" s="31"/>
      <c r="G1370" s="29" t="s">
        <v>19</v>
      </c>
      <c r="H1370" s="285"/>
      <c r="I1370" s="287"/>
      <c r="J1370" s="288"/>
    </row>
    <row r="1371" spans="1:10" ht="11.1" customHeight="1" x14ac:dyDescent="0.3">
      <c r="A1371" s="1" t="s">
        <v>15</v>
      </c>
      <c r="B1371" s="2" t="s">
        <v>1</v>
      </c>
      <c r="C1371" s="24" t="s">
        <v>28</v>
      </c>
      <c r="D1371" s="24" t="s">
        <v>2</v>
      </c>
      <c r="E1371" s="24" t="s">
        <v>16</v>
      </c>
      <c r="F1371" s="32" t="s">
        <v>27</v>
      </c>
      <c r="G1371" s="24" t="s">
        <v>28</v>
      </c>
      <c r="H1371" s="285"/>
      <c r="I1371" s="287"/>
      <c r="J1371" s="288"/>
    </row>
    <row r="1372" spans="1:10" ht="11.1" customHeight="1" x14ac:dyDescent="0.3">
      <c r="A1372" s="1"/>
      <c r="B1372" s="2"/>
      <c r="C1372" s="33" t="s">
        <v>24</v>
      </c>
      <c r="D1372" s="33"/>
      <c r="E1372" s="34"/>
      <c r="F1372" s="35"/>
      <c r="G1372" s="33" t="s">
        <v>30</v>
      </c>
      <c r="H1372" s="285"/>
      <c r="I1372" s="287"/>
      <c r="J1372" s="288"/>
    </row>
    <row r="1373" spans="1:10" ht="11.1" customHeight="1" x14ac:dyDescent="0.3">
      <c r="A1373" s="4" t="s">
        <v>0</v>
      </c>
      <c r="B1373" s="8"/>
      <c r="C1373" s="4"/>
      <c r="D1373" s="4"/>
      <c r="E1373" s="4"/>
      <c r="F1373" s="12"/>
      <c r="G1373" s="9"/>
      <c r="H1373" s="285"/>
      <c r="I1373" s="287"/>
      <c r="J1373" s="288"/>
    </row>
    <row r="1374" spans="1:10" ht="11.1" customHeight="1" x14ac:dyDescent="0.3">
      <c r="A1374" s="47" t="s">
        <v>20</v>
      </c>
      <c r="B1374" s="143" t="s">
        <v>21</v>
      </c>
      <c r="C1374" s="38"/>
      <c r="D1374" s="38"/>
      <c r="E1374" s="38"/>
      <c r="F1374" s="38"/>
      <c r="G1374" s="38"/>
      <c r="H1374" s="285"/>
      <c r="I1374" s="287"/>
      <c r="J1374" s="288"/>
    </row>
    <row r="1375" spans="1:10" ht="11.1" customHeight="1" x14ac:dyDescent="0.3">
      <c r="A1375" s="48"/>
      <c r="B1375" s="40" t="s">
        <v>85</v>
      </c>
      <c r="C1375" s="53">
        <f>52891.87</f>
        <v>52891.87</v>
      </c>
      <c r="D1375" s="5">
        <v>245317.31</v>
      </c>
      <c r="E1375" s="56">
        <f>C1375+D1375-G1375</f>
        <v>248157.72999999998</v>
      </c>
      <c r="F1375" s="56"/>
      <c r="G1375" s="53">
        <v>50051.45</v>
      </c>
      <c r="H1375" s="285"/>
      <c r="I1375" s="287"/>
      <c r="J1375" s="288"/>
    </row>
    <row r="1376" spans="1:10" ht="11.1" customHeight="1" x14ac:dyDescent="0.3">
      <c r="A1376" s="49"/>
      <c r="B1376" s="40" t="s">
        <v>86</v>
      </c>
      <c r="C1376" s="55">
        <f>336.98+25156.98+861.38+46.18</f>
        <v>26401.52</v>
      </c>
      <c r="D1376" s="5">
        <v>97168.26</v>
      </c>
      <c r="E1376" s="56">
        <f>0.2+66647.26+24896.75+46.18</f>
        <v>91590.389999999985</v>
      </c>
      <c r="F1376" s="56"/>
      <c r="G1376" s="55">
        <f>336.78+29258.02+2384.59</f>
        <v>31979.39</v>
      </c>
      <c r="H1376" s="285"/>
      <c r="I1376" s="287"/>
      <c r="J1376" s="288"/>
    </row>
    <row r="1377" spans="1:10" ht="11.1" customHeight="1" x14ac:dyDescent="0.3">
      <c r="A1377" s="49"/>
      <c r="B1377" s="135" t="s">
        <v>23</v>
      </c>
      <c r="C1377" s="50">
        <f>SUM(C1375:C1376)</f>
        <v>79293.39</v>
      </c>
      <c r="D1377" s="50">
        <f>SUM(D1375:D1376)</f>
        <v>342485.57</v>
      </c>
      <c r="E1377" s="50">
        <f>SUM(E1375:E1376)</f>
        <v>339748.12</v>
      </c>
      <c r="F1377" s="50">
        <f>D1377</f>
        <v>342485.57</v>
      </c>
      <c r="G1377" s="50">
        <f>SUM(G1375:G1376)</f>
        <v>82030.84</v>
      </c>
      <c r="H1377" s="285"/>
      <c r="I1377" s="287"/>
      <c r="J1377" s="288"/>
    </row>
    <row r="1378" spans="1:10" ht="11.1" customHeight="1" x14ac:dyDescent="0.3">
      <c r="A1378" s="49"/>
      <c r="B1378" s="138"/>
      <c r="C1378" s="5"/>
      <c r="D1378" s="14"/>
      <c r="E1378" s="5"/>
      <c r="F1378" s="14"/>
      <c r="G1378" s="5"/>
      <c r="H1378" s="285"/>
      <c r="I1378" s="287"/>
      <c r="J1378" s="288"/>
    </row>
    <row r="1379" spans="1:10" ht="11.1" customHeight="1" x14ac:dyDescent="0.3">
      <c r="A1379" s="101" t="s">
        <v>26</v>
      </c>
      <c r="B1379" s="137" t="s">
        <v>29</v>
      </c>
      <c r="C1379" s="50">
        <f>28964.87+17561.85</f>
        <v>46526.720000000001</v>
      </c>
      <c r="D1379" s="50">
        <f>111367.01+63294.58</f>
        <v>174661.59</v>
      </c>
      <c r="E1379" s="50">
        <f>C1379+D1379-G1379</f>
        <v>176571.18</v>
      </c>
      <c r="F1379" s="50">
        <f>D1379</f>
        <v>174661.59</v>
      </c>
      <c r="G1379" s="50">
        <f>28261.56+16355.57</f>
        <v>44617.130000000005</v>
      </c>
      <c r="H1379" s="285"/>
      <c r="I1379" s="287"/>
      <c r="J1379" s="288"/>
    </row>
    <row r="1380" spans="1:10" ht="11.1" customHeight="1" x14ac:dyDescent="0.3">
      <c r="A1380" s="39"/>
      <c r="B1380" s="135"/>
      <c r="C1380" s="58"/>
      <c r="D1380" s="50"/>
      <c r="E1380" s="50"/>
      <c r="F1380" s="50"/>
      <c r="G1380" s="50"/>
      <c r="H1380" s="285"/>
      <c r="I1380" s="287"/>
      <c r="J1380" s="288"/>
    </row>
    <row r="1381" spans="1:10" ht="11.1" customHeight="1" x14ac:dyDescent="0.3">
      <c r="A1381" s="69">
        <v>3</v>
      </c>
      <c r="B1381" s="208" t="s">
        <v>5</v>
      </c>
      <c r="C1381" s="63">
        <v>2191.27</v>
      </c>
      <c r="D1381" s="63">
        <v>11705.44</v>
      </c>
      <c r="E1381" s="63">
        <f>C1381+D1381-G1381</f>
        <v>11825.77</v>
      </c>
      <c r="F1381" s="63">
        <f>D1381</f>
        <v>11705.44</v>
      </c>
      <c r="G1381" s="63">
        <v>2070.94</v>
      </c>
      <c r="H1381" s="285"/>
      <c r="I1381" s="287"/>
      <c r="J1381" s="288"/>
    </row>
    <row r="1382" spans="1:10" ht="11.1" customHeight="1" x14ac:dyDescent="0.3">
      <c r="A1382" s="111"/>
      <c r="B1382" s="209"/>
      <c r="C1382" s="112"/>
      <c r="D1382" s="112"/>
      <c r="E1382" s="112"/>
      <c r="F1382" s="112"/>
      <c r="G1382" s="112"/>
      <c r="H1382" s="285"/>
      <c r="I1382" s="287"/>
      <c r="J1382" s="288"/>
    </row>
    <row r="1383" spans="1:10" ht="11.1" customHeight="1" x14ac:dyDescent="0.3">
      <c r="A1383" s="105"/>
      <c r="B1383" s="200" t="s">
        <v>74</v>
      </c>
      <c r="C1383" s="106">
        <f>C1381+C1379+C1377</f>
        <v>128011.38</v>
      </c>
      <c r="D1383" s="106">
        <f>D1381+D1379+D1377</f>
        <v>528852.6</v>
      </c>
      <c r="E1383" s="106">
        <f>E1381+E1379+E1377</f>
        <v>528145.06999999995</v>
      </c>
      <c r="F1383" s="106">
        <f>F1381+F1379+F1377</f>
        <v>528852.6</v>
      </c>
      <c r="G1383" s="106">
        <f>G1381+G1379+G1377</f>
        <v>128718.91</v>
      </c>
      <c r="H1383" s="285"/>
      <c r="I1383" s="287"/>
      <c r="J1383" s="288"/>
    </row>
    <row r="1384" spans="1:10" ht="11.1" customHeight="1" x14ac:dyDescent="0.3">
      <c r="A1384" s="148"/>
      <c r="B1384" s="148"/>
      <c r="C1384" s="148"/>
      <c r="D1384" s="148"/>
      <c r="E1384" s="148"/>
      <c r="F1384" s="148"/>
      <c r="G1384" s="148"/>
      <c r="H1384" s="285"/>
      <c r="I1384" s="287"/>
      <c r="J1384" s="288"/>
    </row>
    <row r="1385" spans="1:10" ht="11.1" customHeight="1" x14ac:dyDescent="0.3">
      <c r="A1385" s="148"/>
      <c r="B1385" s="148"/>
      <c r="C1385" s="148"/>
      <c r="D1385" s="148"/>
      <c r="E1385" s="148"/>
      <c r="F1385" s="148"/>
      <c r="G1385" s="148"/>
      <c r="H1385" s="285"/>
      <c r="I1385" s="287"/>
      <c r="J1385" s="288"/>
    </row>
    <row r="1386" spans="1:10" ht="11.1" customHeight="1" x14ac:dyDescent="0.3">
      <c r="A1386" s="148"/>
      <c r="B1386" s="148"/>
      <c r="C1386" s="148"/>
      <c r="D1386" s="148"/>
      <c r="E1386" s="148"/>
      <c r="F1386" s="148"/>
      <c r="G1386" s="148"/>
      <c r="H1386" s="285"/>
      <c r="I1386" s="287"/>
      <c r="J1386" s="288"/>
    </row>
    <row r="1387" spans="1:10" ht="11.1" customHeight="1" x14ac:dyDescent="0.3">
      <c r="A1387" s="148"/>
      <c r="B1387" s="148"/>
      <c r="C1387" s="148"/>
      <c r="D1387" s="148"/>
      <c r="E1387" s="148"/>
      <c r="F1387" s="148"/>
      <c r="G1387" s="148"/>
      <c r="H1387" s="285"/>
      <c r="I1387" s="287"/>
      <c r="J1387" s="288"/>
    </row>
    <row r="1388" spans="1:10" ht="11.1" customHeight="1" x14ac:dyDescent="0.3">
      <c r="A1388" s="148"/>
      <c r="B1388" s="148"/>
      <c r="C1388" s="148"/>
      <c r="D1388" s="148"/>
      <c r="E1388" s="148"/>
      <c r="F1388" s="148"/>
      <c r="G1388" s="148"/>
      <c r="H1388" s="285"/>
      <c r="I1388" s="287"/>
      <c r="J1388" s="288"/>
    </row>
    <row r="1389" spans="1:10" ht="11.1" customHeight="1" x14ac:dyDescent="0.3">
      <c r="A1389" s="148"/>
      <c r="B1389" s="148"/>
      <c r="C1389" s="148"/>
      <c r="D1389" s="148"/>
      <c r="E1389" s="148"/>
      <c r="F1389" s="148"/>
      <c r="G1389" s="148"/>
      <c r="H1389" s="285"/>
      <c r="I1389" s="287"/>
      <c r="J1389" s="288"/>
    </row>
    <row r="1390" spans="1:10" ht="11.1" customHeight="1" x14ac:dyDescent="0.3">
      <c r="A1390" s="148"/>
      <c r="B1390" s="148"/>
      <c r="C1390" s="148"/>
      <c r="D1390" s="148"/>
      <c r="E1390" s="148"/>
      <c r="F1390" s="148"/>
      <c r="G1390" s="148"/>
      <c r="H1390" s="285"/>
      <c r="I1390" s="287"/>
      <c r="J1390" s="288"/>
    </row>
    <row r="1391" spans="1:10" ht="11.1" customHeight="1" x14ac:dyDescent="0.3">
      <c r="A1391" s="148"/>
      <c r="B1391" s="148"/>
      <c r="C1391" s="148"/>
      <c r="D1391" s="148"/>
      <c r="E1391" s="148"/>
      <c r="F1391" s="148"/>
      <c r="G1391" s="148"/>
      <c r="H1391" s="285"/>
      <c r="I1391" s="287"/>
      <c r="J1391" s="288"/>
    </row>
    <row r="1392" spans="1:10" ht="11.1" customHeight="1" x14ac:dyDescent="0.3">
      <c r="A1392" s="148"/>
      <c r="B1392" s="148"/>
      <c r="C1392" s="148"/>
      <c r="D1392" s="148"/>
      <c r="E1392" s="148"/>
      <c r="F1392" s="148"/>
      <c r="G1392" s="148"/>
      <c r="H1392" s="285"/>
      <c r="I1392" s="287"/>
      <c r="J1392" s="288"/>
    </row>
    <row r="1393" spans="1:10" ht="11.1" customHeight="1" x14ac:dyDescent="0.3">
      <c r="A1393" s="148"/>
      <c r="B1393" s="148"/>
      <c r="C1393" s="148"/>
      <c r="D1393" s="148"/>
      <c r="E1393" s="148"/>
      <c r="F1393" s="148"/>
      <c r="G1393" s="148"/>
      <c r="H1393" s="285"/>
      <c r="I1393" s="287"/>
      <c r="J1393" s="288"/>
    </row>
    <row r="1394" spans="1:10" ht="11.1" customHeight="1" x14ac:dyDescent="0.3">
      <c r="A1394" s="305" t="s">
        <v>6</v>
      </c>
      <c r="B1394" s="305"/>
      <c r="C1394" s="305"/>
      <c r="D1394" s="305"/>
      <c r="E1394" s="305"/>
      <c r="F1394" s="305"/>
      <c r="G1394" s="305"/>
      <c r="H1394" s="285"/>
      <c r="I1394" s="287"/>
      <c r="J1394" s="288"/>
    </row>
    <row r="1395" spans="1:10" ht="11.1" customHeight="1" x14ac:dyDescent="0.3">
      <c r="A1395" s="305" t="s">
        <v>35</v>
      </c>
      <c r="B1395" s="305"/>
      <c r="C1395" s="305"/>
      <c r="D1395" s="305"/>
      <c r="E1395" s="305"/>
      <c r="F1395" s="305"/>
      <c r="G1395" s="305"/>
      <c r="H1395" s="285"/>
      <c r="I1395" s="287"/>
      <c r="J1395" s="288"/>
    </row>
    <row r="1396" spans="1:10" ht="11.1" customHeight="1" x14ac:dyDescent="0.3">
      <c r="A1396" s="311" t="s">
        <v>36</v>
      </c>
      <c r="B1396" s="311"/>
      <c r="C1396" s="311"/>
      <c r="D1396" s="311"/>
      <c r="E1396" s="311"/>
      <c r="F1396" s="311"/>
      <c r="G1396" s="311"/>
      <c r="H1396" s="285"/>
      <c r="I1396" s="287"/>
      <c r="J1396" s="288"/>
    </row>
    <row r="1397" spans="1:10" ht="11.1" customHeight="1" x14ac:dyDescent="0.3">
      <c r="A1397" s="312" t="s">
        <v>66</v>
      </c>
      <c r="B1397" s="313"/>
      <c r="C1397" s="313"/>
      <c r="D1397" s="313"/>
      <c r="E1397" s="313"/>
      <c r="F1397" s="313"/>
      <c r="G1397" s="314"/>
      <c r="H1397" s="285"/>
      <c r="I1397" s="287"/>
      <c r="J1397" s="288"/>
    </row>
    <row r="1398" spans="1:10" ht="11.1" customHeight="1" x14ac:dyDescent="0.3">
      <c r="A1398" s="25"/>
      <c r="B1398" s="292" t="s">
        <v>3</v>
      </c>
      <c r="C1398" s="293"/>
      <c r="D1398" s="293"/>
      <c r="E1398" s="293"/>
      <c r="F1398" s="293"/>
      <c r="G1398" s="294"/>
      <c r="H1398" s="285"/>
      <c r="I1398" s="287"/>
      <c r="J1398" s="288"/>
    </row>
    <row r="1399" spans="1:10" ht="10.5" customHeight="1" x14ac:dyDescent="0.3">
      <c r="A1399" s="26">
        <v>1</v>
      </c>
      <c r="B1399" s="295" t="s">
        <v>4</v>
      </c>
      <c r="C1399" s="296"/>
      <c r="D1399" s="296"/>
      <c r="E1399" s="297"/>
      <c r="F1399" s="298">
        <v>1993</v>
      </c>
      <c r="G1399" s="299"/>
      <c r="H1399" s="285"/>
      <c r="I1399" s="287"/>
      <c r="J1399" s="288"/>
    </row>
    <row r="1400" spans="1:10" ht="10.5" customHeight="1" x14ac:dyDescent="0.3">
      <c r="A1400" s="27">
        <v>2</v>
      </c>
      <c r="B1400" s="300" t="s">
        <v>12</v>
      </c>
      <c r="C1400" s="301"/>
      <c r="D1400" s="301"/>
      <c r="E1400" s="302"/>
      <c r="F1400" s="303">
        <v>10</v>
      </c>
      <c r="G1400" s="304"/>
      <c r="H1400" s="285"/>
      <c r="I1400" s="287"/>
      <c r="J1400" s="288"/>
    </row>
    <row r="1401" spans="1:10" ht="10.5" customHeight="1" x14ac:dyDescent="0.3">
      <c r="A1401" s="27">
        <v>3</v>
      </c>
      <c r="B1401" s="300" t="s">
        <v>14</v>
      </c>
      <c r="C1401" s="301"/>
      <c r="D1401" s="301"/>
      <c r="E1401" s="302"/>
      <c r="F1401" s="303">
        <v>4</v>
      </c>
      <c r="G1401" s="304"/>
      <c r="H1401" s="285"/>
      <c r="I1401" s="287"/>
      <c r="J1401" s="288"/>
    </row>
    <row r="1402" spans="1:10" ht="10.5" customHeight="1" x14ac:dyDescent="0.3">
      <c r="A1402" s="27">
        <v>4</v>
      </c>
      <c r="B1402" s="300" t="s">
        <v>13</v>
      </c>
      <c r="C1402" s="301"/>
      <c r="D1402" s="301"/>
      <c r="E1402" s="302"/>
      <c r="F1402" s="303">
        <v>150</v>
      </c>
      <c r="G1402" s="304"/>
      <c r="H1402" s="285"/>
      <c r="I1402" s="287"/>
      <c r="J1402" s="288"/>
    </row>
    <row r="1403" spans="1:10" ht="10.5" customHeight="1" x14ac:dyDescent="0.3">
      <c r="A1403" s="27">
        <v>5</v>
      </c>
      <c r="B1403" s="300" t="s">
        <v>10</v>
      </c>
      <c r="C1403" s="301"/>
      <c r="D1403" s="301"/>
      <c r="E1403" s="302"/>
      <c r="F1403" s="303">
        <v>1283.4000000000001</v>
      </c>
      <c r="G1403" s="304"/>
      <c r="H1403" s="285"/>
      <c r="I1403" s="287"/>
      <c r="J1403" s="288"/>
    </row>
    <row r="1404" spans="1:10" ht="10.5" customHeight="1" x14ac:dyDescent="0.3">
      <c r="A1404" s="27">
        <v>6</v>
      </c>
      <c r="B1404" s="300" t="s">
        <v>11</v>
      </c>
      <c r="C1404" s="301"/>
      <c r="D1404" s="301"/>
      <c r="E1404" s="302"/>
      <c r="F1404" s="303">
        <v>8811.6</v>
      </c>
      <c r="G1404" s="304"/>
      <c r="H1404" s="285"/>
      <c r="I1404" s="287"/>
      <c r="J1404" s="288"/>
    </row>
    <row r="1405" spans="1:10" ht="10.5" customHeight="1" x14ac:dyDescent="0.3">
      <c r="A1405" s="28">
        <v>7</v>
      </c>
      <c r="B1405" s="306" t="s">
        <v>9</v>
      </c>
      <c r="C1405" s="307"/>
      <c r="D1405" s="307"/>
      <c r="E1405" s="308"/>
      <c r="F1405" s="309">
        <v>19.100000000000001</v>
      </c>
      <c r="G1405" s="310"/>
      <c r="H1405" s="285"/>
      <c r="I1405" s="287"/>
      <c r="J1405" s="288"/>
    </row>
    <row r="1406" spans="1:10" ht="10.5" customHeight="1" x14ac:dyDescent="0.3">
      <c r="A1406" s="255"/>
      <c r="B1406" s="251"/>
      <c r="C1406" s="251"/>
      <c r="D1406" s="251"/>
      <c r="E1406" s="251"/>
      <c r="F1406" s="256"/>
      <c r="G1406" s="250"/>
      <c r="H1406" s="285"/>
      <c r="I1406" s="287"/>
      <c r="J1406" s="288"/>
    </row>
    <row r="1407" spans="1:10" ht="10.5" customHeight="1" x14ac:dyDescent="0.3">
      <c r="A1407" s="315" t="s">
        <v>99</v>
      </c>
      <c r="B1407" s="316"/>
      <c r="C1407" s="316"/>
      <c r="D1407" s="316"/>
      <c r="E1407" s="316"/>
      <c r="F1407" s="316"/>
      <c r="G1407" s="317"/>
      <c r="H1407" s="285"/>
      <c r="I1407" s="287"/>
      <c r="J1407" s="288"/>
    </row>
    <row r="1408" spans="1:10" ht="10.5" customHeight="1" x14ac:dyDescent="0.3">
      <c r="A1408" s="29"/>
      <c r="B1408" s="30"/>
      <c r="C1408" s="29" t="s">
        <v>19</v>
      </c>
      <c r="D1408" s="29"/>
      <c r="E1408" s="29"/>
      <c r="F1408" s="31"/>
      <c r="G1408" s="29" t="s">
        <v>19</v>
      </c>
      <c r="H1408" s="285"/>
      <c r="I1408" s="287"/>
      <c r="J1408" s="288"/>
    </row>
    <row r="1409" spans="1:10" ht="10.5" customHeight="1" x14ac:dyDescent="0.3">
      <c r="A1409" s="24"/>
      <c r="B1409" s="2" t="s">
        <v>1</v>
      </c>
      <c r="C1409" s="24" t="s">
        <v>28</v>
      </c>
      <c r="D1409" s="24" t="s">
        <v>2</v>
      </c>
      <c r="E1409" s="24" t="s">
        <v>16</v>
      </c>
      <c r="F1409" s="32" t="s">
        <v>27</v>
      </c>
      <c r="G1409" s="24" t="s">
        <v>28</v>
      </c>
      <c r="H1409" s="285"/>
      <c r="I1409" s="287"/>
      <c r="J1409" s="288"/>
    </row>
    <row r="1410" spans="1:10" ht="10.5" customHeight="1" x14ac:dyDescent="0.3">
      <c r="A1410" s="33"/>
      <c r="B1410" s="129"/>
      <c r="C1410" s="33" t="s">
        <v>24</v>
      </c>
      <c r="D1410" s="33"/>
      <c r="E1410" s="34"/>
      <c r="F1410" s="35"/>
      <c r="G1410" s="33" t="s">
        <v>30</v>
      </c>
      <c r="H1410" s="285"/>
      <c r="I1410" s="287"/>
      <c r="J1410" s="288"/>
    </row>
    <row r="1411" spans="1:10" ht="10.5" customHeight="1" x14ac:dyDescent="0.3">
      <c r="A1411" s="37" t="s">
        <v>20</v>
      </c>
      <c r="B1411" s="131" t="s">
        <v>33</v>
      </c>
      <c r="C1411" s="184"/>
      <c r="D1411" s="42"/>
      <c r="E1411" s="38"/>
      <c r="F1411" s="38"/>
      <c r="G1411" s="38"/>
      <c r="H1411" s="285"/>
      <c r="I1411" s="287"/>
      <c r="J1411" s="288"/>
    </row>
    <row r="1412" spans="1:10" ht="10.5" customHeight="1" x14ac:dyDescent="0.3">
      <c r="A1412" s="101"/>
      <c r="B1412" s="132" t="s">
        <v>7</v>
      </c>
      <c r="C1412" s="5">
        <v>272237.42</v>
      </c>
      <c r="D1412" s="5">
        <v>1381874.93</v>
      </c>
      <c r="E1412" s="5">
        <f>C1412+D1412-G1412</f>
        <v>1386658.0599999998</v>
      </c>
      <c r="F1412" s="5"/>
      <c r="G1412" s="5">
        <f>304949.6-37495.31</f>
        <v>267454.28999999998</v>
      </c>
      <c r="H1412" s="285"/>
      <c r="I1412" s="287"/>
      <c r="J1412" s="288"/>
    </row>
    <row r="1413" spans="1:10" ht="10.5" customHeight="1" x14ac:dyDescent="0.3">
      <c r="A1413" s="101"/>
      <c r="B1413" s="132" t="s">
        <v>8</v>
      </c>
      <c r="C1413" s="5">
        <f>D1413/12</f>
        <v>243.57249999999999</v>
      </c>
      <c r="D1413" s="5">
        <v>2922.87</v>
      </c>
      <c r="E1413" s="5">
        <f>C1413+D1413-G1413</f>
        <v>2903.3842</v>
      </c>
      <c r="F1413" s="5"/>
      <c r="G1413" s="5">
        <f>D1413*9%</f>
        <v>263.05829999999997</v>
      </c>
      <c r="H1413" s="285"/>
      <c r="I1413" s="287"/>
      <c r="J1413" s="288"/>
    </row>
    <row r="1414" spans="1:10" ht="10.5" customHeight="1" x14ac:dyDescent="0.3">
      <c r="A1414" s="101"/>
      <c r="B1414" s="132" t="s">
        <v>17</v>
      </c>
      <c r="C1414" s="5">
        <f>D1414/12</f>
        <v>560</v>
      </c>
      <c r="D1414" s="5">
        <v>6720</v>
      </c>
      <c r="E1414" s="5">
        <f>C1414+D1414-G1414</f>
        <v>6675.2</v>
      </c>
      <c r="F1414" s="5"/>
      <c r="G1414" s="5">
        <f>D1414*9%</f>
        <v>604.79999999999995</v>
      </c>
      <c r="H1414" s="285"/>
      <c r="I1414" s="287"/>
      <c r="J1414" s="288"/>
    </row>
    <row r="1415" spans="1:10" ht="10.5" customHeight="1" x14ac:dyDescent="0.3">
      <c r="A1415" s="101"/>
      <c r="B1415" s="135" t="s">
        <v>23</v>
      </c>
      <c r="C1415" s="50">
        <f>SUM(C1412:C1414)</f>
        <v>273040.99249999999</v>
      </c>
      <c r="D1415" s="50">
        <f>SUM(D1412:D1414)</f>
        <v>1391517.8</v>
      </c>
      <c r="E1415" s="50">
        <f>SUM(E1412:E1414)</f>
        <v>1396236.6441999997</v>
      </c>
      <c r="F1415" s="50">
        <f>D1415-493.95</f>
        <v>1391023.85</v>
      </c>
      <c r="G1415" s="50">
        <f>SUM(G1412:G1414)</f>
        <v>268322.14829999994</v>
      </c>
      <c r="H1415" s="285"/>
      <c r="I1415" s="287"/>
      <c r="J1415" s="288"/>
    </row>
    <row r="1416" spans="1:10" ht="10.5" customHeight="1" x14ac:dyDescent="0.3">
      <c r="A1416" s="101"/>
      <c r="B1416" s="135"/>
      <c r="C1416" s="5"/>
      <c r="D1416" s="5"/>
      <c r="E1416" s="5"/>
      <c r="F1416" s="5"/>
      <c r="G1416" s="5"/>
      <c r="H1416" s="285"/>
      <c r="I1416" s="287"/>
      <c r="J1416" s="288"/>
    </row>
    <row r="1417" spans="1:10" ht="10.5" customHeight="1" x14ac:dyDescent="0.3">
      <c r="A1417" s="39">
        <v>2</v>
      </c>
      <c r="B1417" s="152" t="s">
        <v>34</v>
      </c>
      <c r="C1417" s="75"/>
      <c r="D1417" s="50">
        <v>325940.21999999997</v>
      </c>
      <c r="E1417" s="50">
        <f>D1417-G1417</f>
        <v>269491.18999999994</v>
      </c>
      <c r="F1417" s="50">
        <f>D1417</f>
        <v>325940.21999999997</v>
      </c>
      <c r="G1417" s="50">
        <f>37495.31+18296.15+657.57</f>
        <v>56449.03</v>
      </c>
      <c r="H1417" s="285"/>
      <c r="I1417" s="287"/>
      <c r="J1417" s="288"/>
    </row>
    <row r="1418" spans="1:10" ht="10.5" customHeight="1" x14ac:dyDescent="0.3">
      <c r="A1418" s="40"/>
      <c r="B1418" s="40"/>
      <c r="C1418" s="40"/>
      <c r="D1418" s="40"/>
      <c r="E1418" s="40"/>
      <c r="F1418" s="40"/>
      <c r="G1418" s="40"/>
      <c r="H1418" s="285"/>
      <c r="I1418" s="287"/>
      <c r="J1418" s="288"/>
    </row>
    <row r="1419" spans="1:10" ht="10.5" customHeight="1" x14ac:dyDescent="0.3">
      <c r="A1419" s="39" t="s">
        <v>22</v>
      </c>
      <c r="B1419" s="137" t="s">
        <v>108</v>
      </c>
      <c r="C1419" s="5">
        <v>131346.09</v>
      </c>
      <c r="D1419" s="5">
        <v>611948.14</v>
      </c>
      <c r="E1419" s="5">
        <f>C1419+D1419-G1419</f>
        <v>625280.96</v>
      </c>
      <c r="F1419" s="147"/>
      <c r="G1419" s="5">
        <f>136966.99-18296.15-657.57</f>
        <v>118013.26999999999</v>
      </c>
      <c r="H1419" s="285"/>
      <c r="I1419" s="287"/>
      <c r="J1419" s="288"/>
    </row>
    <row r="1420" spans="1:10" ht="10.5" customHeight="1" x14ac:dyDescent="0.3">
      <c r="A1420" s="39"/>
      <c r="B1420" s="138" t="s">
        <v>37</v>
      </c>
      <c r="C1420" s="5">
        <f>D1420/12</f>
        <v>130.31</v>
      </c>
      <c r="D1420" s="5">
        <v>1563.72</v>
      </c>
      <c r="E1420" s="5">
        <f>C1420+D1420-G1420</f>
        <v>1553.2952</v>
      </c>
      <c r="F1420" s="139"/>
      <c r="G1420" s="5">
        <f>D1420*9%</f>
        <v>140.73480000000001</v>
      </c>
      <c r="H1420" s="285"/>
      <c r="I1420" s="287"/>
      <c r="J1420" s="288"/>
    </row>
    <row r="1421" spans="1:10" ht="10.5" customHeight="1" x14ac:dyDescent="0.3">
      <c r="A1421" s="87"/>
      <c r="B1421" s="134" t="s">
        <v>23</v>
      </c>
      <c r="C1421" s="63">
        <f>SUM(C1419:C1420)</f>
        <v>131476.4</v>
      </c>
      <c r="D1421" s="63">
        <f>SUM(D1419:D1420)</f>
        <v>613511.86</v>
      </c>
      <c r="E1421" s="63">
        <f>SUM(E1419:E1420)</f>
        <v>626834.25520000001</v>
      </c>
      <c r="F1421" s="65">
        <v>681023.63</v>
      </c>
      <c r="G1421" s="63">
        <f>SUM(G1419:G1420)</f>
        <v>118154.0048</v>
      </c>
      <c r="H1421" s="285"/>
      <c r="I1421" s="287"/>
      <c r="J1421" s="288"/>
    </row>
    <row r="1422" spans="1:10" ht="10.5" customHeight="1" x14ac:dyDescent="0.3">
      <c r="A1422" s="236"/>
      <c r="B1422" s="156"/>
      <c r="C1422" s="66"/>
      <c r="D1422" s="66"/>
      <c r="E1422" s="66"/>
      <c r="F1422" s="67"/>
      <c r="G1422" s="66"/>
      <c r="H1422" s="285"/>
      <c r="I1422" s="287"/>
      <c r="J1422" s="288"/>
    </row>
    <row r="1423" spans="1:10" ht="10.5" customHeight="1" x14ac:dyDescent="0.3">
      <c r="A1423" s="105"/>
      <c r="B1423" s="200" t="s">
        <v>74</v>
      </c>
      <c r="C1423" s="106">
        <f>C1421+C1417+C1415</f>
        <v>404517.39249999996</v>
      </c>
      <c r="D1423" s="106">
        <f>D1421+D1417+D1415</f>
        <v>2330969.88</v>
      </c>
      <c r="E1423" s="106">
        <f>E1421+E1417+E1415</f>
        <v>2292562.0893999999</v>
      </c>
      <c r="F1423" s="106">
        <f>F1421+F1417+F1415</f>
        <v>2397987.7000000002</v>
      </c>
      <c r="G1423" s="106">
        <f>G1421+G1417+G1415</f>
        <v>442925.18309999991</v>
      </c>
      <c r="H1423" s="285"/>
      <c r="I1423" s="287"/>
      <c r="J1423" s="288"/>
    </row>
    <row r="1424" spans="1:10" ht="10.5" customHeight="1" x14ac:dyDescent="0.3">
      <c r="A1424" s="130"/>
      <c r="B1424" s="36"/>
      <c r="C1424" s="30"/>
      <c r="D1424" s="36"/>
      <c r="E1424" s="36"/>
      <c r="F1424" s="36"/>
      <c r="G1424" s="44"/>
      <c r="H1424" s="285"/>
      <c r="I1424" s="287"/>
      <c r="J1424" s="288"/>
    </row>
    <row r="1425" spans="1:10" ht="10.5" customHeight="1" x14ac:dyDescent="0.3">
      <c r="A1425" s="318" t="s">
        <v>18</v>
      </c>
      <c r="B1425" s="319"/>
      <c r="C1425" s="319"/>
      <c r="D1425" s="319"/>
      <c r="E1425" s="319"/>
      <c r="F1425" s="319"/>
      <c r="G1425" s="45"/>
      <c r="H1425" s="285"/>
      <c r="I1425" s="287"/>
      <c r="J1425" s="288"/>
    </row>
    <row r="1426" spans="1:10" ht="10.5" customHeight="1" x14ac:dyDescent="0.3">
      <c r="A1426" s="1"/>
      <c r="B1426" s="2"/>
      <c r="C1426" s="29" t="s">
        <v>19</v>
      </c>
      <c r="D1426" s="29"/>
      <c r="E1426" s="29"/>
      <c r="F1426" s="31"/>
      <c r="G1426" s="29" t="s">
        <v>19</v>
      </c>
      <c r="H1426" s="285"/>
      <c r="I1426" s="287"/>
      <c r="J1426" s="288"/>
    </row>
    <row r="1427" spans="1:10" ht="10.5" customHeight="1" x14ac:dyDescent="0.3">
      <c r="A1427" s="1" t="s">
        <v>15</v>
      </c>
      <c r="B1427" s="2" t="s">
        <v>1</v>
      </c>
      <c r="C1427" s="24" t="s">
        <v>28</v>
      </c>
      <c r="D1427" s="24" t="s">
        <v>2</v>
      </c>
      <c r="E1427" s="24" t="s">
        <v>16</v>
      </c>
      <c r="F1427" s="32" t="s">
        <v>27</v>
      </c>
      <c r="G1427" s="24" t="s">
        <v>28</v>
      </c>
      <c r="H1427" s="285"/>
      <c r="I1427" s="287"/>
      <c r="J1427" s="288"/>
    </row>
    <row r="1428" spans="1:10" ht="10.5" customHeight="1" x14ac:dyDescent="0.3">
      <c r="A1428" s="1"/>
      <c r="B1428" s="2"/>
      <c r="C1428" s="33" t="s">
        <v>24</v>
      </c>
      <c r="D1428" s="33"/>
      <c r="E1428" s="34"/>
      <c r="F1428" s="35"/>
      <c r="G1428" s="33" t="s">
        <v>30</v>
      </c>
      <c r="H1428" s="285"/>
      <c r="I1428" s="287"/>
      <c r="J1428" s="288"/>
    </row>
    <row r="1429" spans="1:10" ht="10.5" customHeight="1" x14ac:dyDescent="0.3">
      <c r="A1429" s="47" t="s">
        <v>20</v>
      </c>
      <c r="B1429" s="143" t="s">
        <v>21</v>
      </c>
      <c r="C1429" s="38"/>
      <c r="D1429" s="38"/>
      <c r="E1429" s="38"/>
      <c r="F1429" s="38"/>
      <c r="G1429" s="38"/>
      <c r="H1429" s="285"/>
      <c r="I1429" s="287"/>
      <c r="J1429" s="288"/>
    </row>
    <row r="1430" spans="1:10" ht="10.5" customHeight="1" x14ac:dyDescent="0.3">
      <c r="A1430" s="48"/>
      <c r="B1430" s="40" t="s">
        <v>104</v>
      </c>
      <c r="C1430" s="57">
        <f>290955.06-35081.27</f>
        <v>255873.79</v>
      </c>
      <c r="D1430" s="5">
        <v>1502268.58</v>
      </c>
      <c r="E1430" s="71">
        <f>C1430+D1430-G1430</f>
        <v>1441119.6900000002</v>
      </c>
      <c r="F1430" s="77"/>
      <c r="G1430" s="57">
        <v>317022.68</v>
      </c>
      <c r="H1430" s="285"/>
      <c r="I1430" s="287"/>
      <c r="J1430" s="288"/>
    </row>
    <row r="1431" spans="1:10" ht="10.5" customHeight="1" x14ac:dyDescent="0.3">
      <c r="A1431" s="39"/>
      <c r="B1431" s="138" t="s">
        <v>116</v>
      </c>
      <c r="C1431" s="57">
        <f>D1431/12</f>
        <v>273.53000000000003</v>
      </c>
      <c r="D1431" s="5">
        <v>3282.36</v>
      </c>
      <c r="E1431" s="71">
        <f>C1431+D1431-G1431</f>
        <v>3260.4776000000002</v>
      </c>
      <c r="F1431" s="77"/>
      <c r="G1431" s="57">
        <f>D1431*9%</f>
        <v>295.41239999999999</v>
      </c>
      <c r="H1431" s="285"/>
      <c r="I1431" s="287"/>
      <c r="J1431" s="288"/>
    </row>
    <row r="1432" spans="1:10" ht="10.5" customHeight="1" x14ac:dyDescent="0.3">
      <c r="A1432" s="39"/>
      <c r="B1432" s="135" t="s">
        <v>23</v>
      </c>
      <c r="C1432" s="104">
        <f>SUM(C1430:C1431)</f>
        <v>256147.32</v>
      </c>
      <c r="D1432" s="104">
        <f>SUM(D1430:D1431)</f>
        <v>1505550.9400000002</v>
      </c>
      <c r="E1432" s="104">
        <f>SUM(E1430:E1431)</f>
        <v>1444380.1676000003</v>
      </c>
      <c r="F1432" s="104"/>
      <c r="G1432" s="104">
        <f>SUM(G1430:G1431)</f>
        <v>317318.09239999996</v>
      </c>
      <c r="H1432" s="285"/>
      <c r="I1432" s="287"/>
      <c r="J1432" s="288"/>
    </row>
    <row r="1433" spans="1:10" ht="10.5" customHeight="1" x14ac:dyDescent="0.3">
      <c r="A1433" s="39"/>
      <c r="B1433" s="138"/>
      <c r="C1433" s="57"/>
      <c r="D1433" s="5"/>
      <c r="E1433" s="71"/>
      <c r="F1433" s="77"/>
      <c r="G1433" s="57"/>
      <c r="H1433" s="285"/>
      <c r="I1433" s="287"/>
      <c r="J1433" s="288"/>
    </row>
    <row r="1434" spans="1:10" ht="10.5" customHeight="1" x14ac:dyDescent="0.3">
      <c r="A1434" s="49"/>
      <c r="B1434" s="40" t="s">
        <v>107</v>
      </c>
      <c r="C1434" s="71">
        <f>22784.75+98228.55+16023.38+180.05</f>
        <v>137216.72999999998</v>
      </c>
      <c r="D1434" s="5">
        <f>369327.48+264784.82+0</f>
        <v>634112.30000000005</v>
      </c>
      <c r="E1434" s="71">
        <f>C1434+D1434-G1434</f>
        <v>628623.81000000006</v>
      </c>
      <c r="F1434" s="77"/>
      <c r="G1434" s="71">
        <f>3214.56+102142.55+37277.2+70.91</f>
        <v>142705.22</v>
      </c>
      <c r="H1434" s="285"/>
      <c r="I1434" s="287"/>
      <c r="J1434" s="288"/>
    </row>
    <row r="1435" spans="1:10" ht="10.5" customHeight="1" x14ac:dyDescent="0.3">
      <c r="A1435" s="49"/>
      <c r="B1435" s="138" t="s">
        <v>116</v>
      </c>
      <c r="C1435" s="71">
        <f>D1435/12</f>
        <v>27.057500000000001</v>
      </c>
      <c r="D1435" s="5">
        <v>324.69</v>
      </c>
      <c r="E1435" s="71">
        <f>C1435+D1435-G1435</f>
        <v>322.52539999999999</v>
      </c>
      <c r="F1435" s="77"/>
      <c r="G1435" s="71">
        <f>D1435*9%</f>
        <v>29.222099999999998</v>
      </c>
      <c r="H1435" s="285"/>
      <c r="I1435" s="287"/>
      <c r="J1435" s="288"/>
    </row>
    <row r="1436" spans="1:10" ht="10.5" customHeight="1" x14ac:dyDescent="0.3">
      <c r="A1436" s="49"/>
      <c r="B1436" s="135" t="s">
        <v>23</v>
      </c>
      <c r="C1436" s="50">
        <f>SUM(C1434:C1435)</f>
        <v>137243.78749999998</v>
      </c>
      <c r="D1436" s="50">
        <f>SUM(D1434:D1435)</f>
        <v>634436.99</v>
      </c>
      <c r="E1436" s="50">
        <f>SUM(E1434:E1435)</f>
        <v>628946.3354000001</v>
      </c>
      <c r="F1436" s="50"/>
      <c r="G1436" s="50">
        <f>SUM(G1434:G1435)</f>
        <v>142734.44210000001</v>
      </c>
      <c r="H1436" s="285"/>
      <c r="I1436" s="287"/>
      <c r="J1436" s="288"/>
    </row>
    <row r="1437" spans="1:10" ht="10.5" customHeight="1" x14ac:dyDescent="0.3">
      <c r="A1437" s="49"/>
      <c r="B1437" s="138"/>
      <c r="C1437" s="5"/>
      <c r="D1437" s="14"/>
      <c r="E1437" s="5"/>
      <c r="F1437" s="14"/>
      <c r="G1437" s="5"/>
      <c r="H1437" s="285"/>
      <c r="I1437" s="287"/>
      <c r="J1437" s="288"/>
    </row>
    <row r="1438" spans="1:10" ht="10.5" customHeight="1" x14ac:dyDescent="0.3">
      <c r="A1438" s="39"/>
      <c r="B1438" s="134" t="s">
        <v>79</v>
      </c>
      <c r="C1438" s="50">
        <f>C1436+C1432</f>
        <v>393391.10749999998</v>
      </c>
      <c r="D1438" s="50">
        <f>D1436+D1432</f>
        <v>2139987.9300000002</v>
      </c>
      <c r="E1438" s="50">
        <f>E1436+E1432</f>
        <v>2073326.5030000005</v>
      </c>
      <c r="F1438" s="50">
        <f>D1438</f>
        <v>2139987.9300000002</v>
      </c>
      <c r="G1438" s="50">
        <f>G1436+G1432</f>
        <v>460052.53449999995</v>
      </c>
      <c r="H1438" s="285"/>
      <c r="I1438" s="287"/>
      <c r="J1438" s="288"/>
    </row>
    <row r="1439" spans="1:10" ht="10.5" customHeight="1" x14ac:dyDescent="0.3">
      <c r="A1439" s="39"/>
      <c r="B1439" s="134"/>
      <c r="C1439" s="50"/>
      <c r="D1439" s="5"/>
      <c r="E1439" s="5"/>
      <c r="F1439" s="5"/>
      <c r="G1439" s="5"/>
      <c r="H1439" s="285"/>
      <c r="I1439" s="287"/>
      <c r="J1439" s="288"/>
    </row>
    <row r="1440" spans="1:10" ht="10.5" customHeight="1" x14ac:dyDescent="0.3">
      <c r="A1440" s="101" t="s">
        <v>26</v>
      </c>
      <c r="B1440" s="137" t="s">
        <v>29</v>
      </c>
      <c r="C1440" s="5"/>
      <c r="D1440" s="5"/>
      <c r="E1440" s="5"/>
      <c r="F1440" s="5"/>
      <c r="G1440" s="5"/>
      <c r="H1440" s="285"/>
      <c r="I1440" s="287"/>
      <c r="J1440" s="288"/>
    </row>
    <row r="1441" spans="1:10" ht="10.5" customHeight="1" x14ac:dyDescent="0.3">
      <c r="A1441" s="101"/>
      <c r="B1441" s="40" t="s">
        <v>31</v>
      </c>
      <c r="C1441" s="43">
        <f>143952.16+86637.25</f>
        <v>230589.41</v>
      </c>
      <c r="D1441" s="5">
        <v>1047593.56</v>
      </c>
      <c r="E1441" s="5">
        <f>C1441+D1441-G1441</f>
        <v>1041047.22</v>
      </c>
      <c r="F1441" s="5"/>
      <c r="G1441" s="5">
        <f>151817.07+85318.68</f>
        <v>237135.75</v>
      </c>
      <c r="H1441" s="285"/>
      <c r="I1441" s="287"/>
      <c r="J1441" s="288"/>
    </row>
    <row r="1442" spans="1:10" ht="10.5" customHeight="1" x14ac:dyDescent="0.3">
      <c r="A1442" s="39"/>
      <c r="B1442" s="40" t="s">
        <v>32</v>
      </c>
      <c r="C1442" s="43">
        <f>D1442/12</f>
        <v>60.07833333333334</v>
      </c>
      <c r="D1442" s="14">
        <f>427.45+293.49</f>
        <v>720.94</v>
      </c>
      <c r="E1442" s="14">
        <f>C1442+D1442-G1442</f>
        <v>716.13373333333345</v>
      </c>
      <c r="F1442" s="5"/>
      <c r="G1442" s="5">
        <f>D1442*9%</f>
        <v>64.884600000000006</v>
      </c>
      <c r="H1442" s="285"/>
      <c r="I1442" s="287"/>
      <c r="J1442" s="288"/>
    </row>
    <row r="1443" spans="1:10" ht="10.5" customHeight="1" x14ac:dyDescent="0.3">
      <c r="A1443" s="39"/>
      <c r="B1443" s="135" t="s">
        <v>23</v>
      </c>
      <c r="C1443" s="58">
        <f>SUM(C1441:C1442)</f>
        <v>230649.48833333334</v>
      </c>
      <c r="D1443" s="50">
        <f>SUM(D1441:D1442)</f>
        <v>1048314.5</v>
      </c>
      <c r="E1443" s="50">
        <f>SUM(E1441:E1442)</f>
        <v>1041763.3537333333</v>
      </c>
      <c r="F1443" s="50">
        <f>D1443</f>
        <v>1048314.5</v>
      </c>
      <c r="G1443" s="50">
        <f>SUM(G1441:G1442)</f>
        <v>237200.63459999999</v>
      </c>
      <c r="H1443" s="285"/>
      <c r="I1443" s="287"/>
      <c r="J1443" s="288"/>
    </row>
    <row r="1444" spans="1:10" ht="10.5" customHeight="1" x14ac:dyDescent="0.3">
      <c r="A1444" s="101"/>
      <c r="B1444" s="145"/>
      <c r="C1444" s="5"/>
      <c r="D1444" s="13"/>
      <c r="E1444" s="5"/>
      <c r="F1444" s="5"/>
      <c r="G1444" s="5"/>
      <c r="H1444" s="285"/>
      <c r="I1444" s="287"/>
      <c r="J1444" s="288"/>
    </row>
    <row r="1445" spans="1:10" ht="10.5" customHeight="1" x14ac:dyDescent="0.3">
      <c r="A1445" s="69">
        <v>3</v>
      </c>
      <c r="B1445" s="208" t="s">
        <v>69</v>
      </c>
      <c r="C1445" s="62">
        <v>211215.43</v>
      </c>
      <c r="D1445" s="63">
        <v>1053322.49</v>
      </c>
      <c r="E1445" s="63">
        <v>1048555.84</v>
      </c>
      <c r="F1445" s="63">
        <v>1087112.8400000001</v>
      </c>
      <c r="G1445" s="62">
        <f>C1445+D1445-E1445</f>
        <v>215982.07999999996</v>
      </c>
      <c r="H1445" s="285"/>
      <c r="I1445" s="287"/>
      <c r="J1445" s="288"/>
    </row>
    <row r="1446" spans="1:10" ht="10.5" customHeight="1" x14ac:dyDescent="0.3">
      <c r="A1446" s="111"/>
      <c r="B1446" s="209"/>
      <c r="C1446" s="112"/>
      <c r="D1446" s="112"/>
      <c r="E1446" s="112"/>
      <c r="F1446" s="112"/>
      <c r="G1446" s="112"/>
      <c r="H1446" s="285"/>
      <c r="I1446" s="287"/>
      <c r="J1446" s="288"/>
    </row>
    <row r="1447" spans="1:10" ht="10.5" customHeight="1" x14ac:dyDescent="0.3">
      <c r="A1447" s="82"/>
      <c r="B1447" s="82" t="s">
        <v>74</v>
      </c>
      <c r="C1447" s="90">
        <f>C1445+C1443+C1438</f>
        <v>835256.02583333338</v>
      </c>
      <c r="D1447" s="90">
        <f>D1445+D1443+D1438</f>
        <v>4241624.92</v>
      </c>
      <c r="E1447" s="90">
        <f>E1445+E1443+E1438</f>
        <v>4163645.6967333336</v>
      </c>
      <c r="F1447" s="90">
        <f>F1445+F1443+F1438</f>
        <v>4275415.2699999996</v>
      </c>
      <c r="G1447" s="90">
        <f>G1445+G1443+G1438</f>
        <v>913235.2490999999</v>
      </c>
      <c r="H1447" s="285"/>
      <c r="I1447" s="287"/>
      <c r="J1447" s="288"/>
    </row>
    <row r="1448" spans="1:10" ht="11.1" customHeight="1" x14ac:dyDescent="0.3">
      <c r="A1448" s="271"/>
      <c r="B1448" s="271"/>
      <c r="C1448" s="272"/>
      <c r="D1448" s="272"/>
      <c r="E1448" s="272"/>
      <c r="F1448" s="272"/>
      <c r="G1448" s="272"/>
      <c r="H1448" s="285"/>
      <c r="I1448" s="287"/>
      <c r="J1448" s="288"/>
    </row>
    <row r="1449" spans="1:10" ht="11.1" customHeight="1" x14ac:dyDescent="0.3">
      <c r="A1449" s="271"/>
      <c r="B1449" s="271"/>
      <c r="C1449" s="272"/>
      <c r="D1449" s="272"/>
      <c r="E1449" s="272"/>
      <c r="F1449" s="272"/>
      <c r="G1449" s="272"/>
      <c r="H1449" s="285"/>
      <c r="I1449" s="287"/>
      <c r="J1449" s="288"/>
    </row>
    <row r="1450" spans="1:10" ht="11.1" customHeight="1" x14ac:dyDescent="0.3">
      <c r="A1450" s="305" t="s">
        <v>6</v>
      </c>
      <c r="B1450" s="305"/>
      <c r="C1450" s="305"/>
      <c r="D1450" s="305"/>
      <c r="E1450" s="305"/>
      <c r="F1450" s="305"/>
      <c r="G1450" s="305"/>
      <c r="H1450" s="285"/>
      <c r="I1450" s="287"/>
      <c r="J1450" s="288"/>
    </row>
    <row r="1451" spans="1:10" ht="11.1" customHeight="1" x14ac:dyDescent="0.3">
      <c r="A1451" s="305" t="s">
        <v>35</v>
      </c>
      <c r="B1451" s="305"/>
      <c r="C1451" s="305"/>
      <c r="D1451" s="305"/>
      <c r="E1451" s="305"/>
      <c r="F1451" s="305"/>
      <c r="G1451" s="305"/>
      <c r="H1451" s="285"/>
      <c r="I1451" s="287"/>
      <c r="J1451" s="288"/>
    </row>
    <row r="1452" spans="1:10" ht="11.1" customHeight="1" x14ac:dyDescent="0.3">
      <c r="A1452" s="311" t="s">
        <v>36</v>
      </c>
      <c r="B1452" s="311"/>
      <c r="C1452" s="311"/>
      <c r="D1452" s="311"/>
      <c r="E1452" s="311"/>
      <c r="F1452" s="311"/>
      <c r="G1452" s="311"/>
      <c r="H1452" s="285"/>
      <c r="I1452" s="287"/>
      <c r="J1452" s="288"/>
    </row>
    <row r="1453" spans="1:10" ht="11.1" customHeight="1" x14ac:dyDescent="0.3">
      <c r="A1453" s="312" t="s">
        <v>67</v>
      </c>
      <c r="B1453" s="313"/>
      <c r="C1453" s="313"/>
      <c r="D1453" s="313"/>
      <c r="E1453" s="313"/>
      <c r="F1453" s="313"/>
      <c r="G1453" s="314"/>
      <c r="H1453" s="285"/>
      <c r="I1453" s="287"/>
      <c r="J1453" s="288"/>
    </row>
    <row r="1454" spans="1:10" ht="11.1" customHeight="1" x14ac:dyDescent="0.3">
      <c r="A1454" s="25"/>
      <c r="B1454" s="292" t="s">
        <v>3</v>
      </c>
      <c r="C1454" s="293"/>
      <c r="D1454" s="293"/>
      <c r="E1454" s="293"/>
      <c r="F1454" s="293"/>
      <c r="G1454" s="294"/>
      <c r="H1454" s="285"/>
      <c r="I1454" s="287"/>
      <c r="J1454" s="288"/>
    </row>
    <row r="1455" spans="1:10" ht="11.1" customHeight="1" x14ac:dyDescent="0.3">
      <c r="A1455" s="26">
        <v>1</v>
      </c>
      <c r="B1455" s="295" t="s">
        <v>4</v>
      </c>
      <c r="C1455" s="296"/>
      <c r="D1455" s="296"/>
      <c r="E1455" s="297"/>
      <c r="F1455" s="298">
        <v>1987</v>
      </c>
      <c r="G1455" s="299"/>
      <c r="H1455" s="285"/>
      <c r="I1455" s="287"/>
      <c r="J1455" s="288"/>
    </row>
    <row r="1456" spans="1:10" ht="11.1" customHeight="1" x14ac:dyDescent="0.3">
      <c r="A1456" s="27">
        <v>2</v>
      </c>
      <c r="B1456" s="300" t="s">
        <v>12</v>
      </c>
      <c r="C1456" s="301"/>
      <c r="D1456" s="301"/>
      <c r="E1456" s="302"/>
      <c r="F1456" s="303">
        <v>5</v>
      </c>
      <c r="G1456" s="304"/>
      <c r="H1456" s="285"/>
      <c r="I1456" s="287"/>
      <c r="J1456" s="288"/>
    </row>
    <row r="1457" spans="1:10" ht="11.1" customHeight="1" x14ac:dyDescent="0.3">
      <c r="A1457" s="27">
        <v>3</v>
      </c>
      <c r="B1457" s="300" t="s">
        <v>14</v>
      </c>
      <c r="C1457" s="301"/>
      <c r="D1457" s="301"/>
      <c r="E1457" s="302"/>
      <c r="F1457" s="303">
        <v>6</v>
      </c>
      <c r="G1457" s="304"/>
      <c r="H1457" s="285"/>
      <c r="I1457" s="287"/>
      <c r="J1457" s="288"/>
    </row>
    <row r="1458" spans="1:10" ht="11.1" customHeight="1" x14ac:dyDescent="0.3">
      <c r="A1458" s="27">
        <v>4</v>
      </c>
      <c r="B1458" s="300" t="s">
        <v>13</v>
      </c>
      <c r="C1458" s="301"/>
      <c r="D1458" s="301"/>
      <c r="E1458" s="302"/>
      <c r="F1458" s="303">
        <v>90</v>
      </c>
      <c r="G1458" s="304"/>
      <c r="H1458" s="285"/>
      <c r="I1458" s="287"/>
      <c r="J1458" s="288"/>
    </row>
    <row r="1459" spans="1:10" ht="11.1" customHeight="1" x14ac:dyDescent="0.3">
      <c r="A1459" s="27">
        <v>5</v>
      </c>
      <c r="B1459" s="300" t="s">
        <v>10</v>
      </c>
      <c r="C1459" s="301"/>
      <c r="D1459" s="301"/>
      <c r="E1459" s="302"/>
      <c r="F1459" s="303">
        <v>416.5</v>
      </c>
      <c r="G1459" s="304"/>
      <c r="H1459" s="285"/>
      <c r="I1459" s="287"/>
      <c r="J1459" s="288"/>
    </row>
    <row r="1460" spans="1:10" ht="11.1" customHeight="1" x14ac:dyDescent="0.3">
      <c r="A1460" s="27">
        <v>6</v>
      </c>
      <c r="B1460" s="300" t="s">
        <v>11</v>
      </c>
      <c r="C1460" s="301"/>
      <c r="D1460" s="301"/>
      <c r="E1460" s="302"/>
      <c r="F1460" s="303">
        <v>4147.0200000000004</v>
      </c>
      <c r="G1460" s="304"/>
      <c r="H1460" s="285"/>
      <c r="I1460" s="287"/>
      <c r="J1460" s="288"/>
    </row>
    <row r="1461" spans="1:10" ht="11.1" customHeight="1" x14ac:dyDescent="0.3">
      <c r="A1461" s="28">
        <v>7</v>
      </c>
      <c r="B1461" s="306" t="s">
        <v>9</v>
      </c>
      <c r="C1461" s="307"/>
      <c r="D1461" s="307"/>
      <c r="E1461" s="308"/>
      <c r="F1461" s="309">
        <v>0</v>
      </c>
      <c r="G1461" s="310"/>
      <c r="H1461" s="285"/>
      <c r="I1461" s="287"/>
      <c r="J1461" s="288"/>
    </row>
    <row r="1462" spans="1:10" ht="11.1" customHeight="1" x14ac:dyDescent="0.3">
      <c r="A1462" s="255"/>
      <c r="B1462" s="251"/>
      <c r="C1462" s="251"/>
      <c r="D1462" s="251"/>
      <c r="E1462" s="251"/>
      <c r="F1462" s="256"/>
      <c r="G1462" s="250"/>
      <c r="H1462" s="285"/>
      <c r="I1462" s="287"/>
      <c r="J1462" s="288"/>
    </row>
    <row r="1463" spans="1:10" ht="11.1" customHeight="1" x14ac:dyDescent="0.3">
      <c r="A1463" s="315" t="s">
        <v>99</v>
      </c>
      <c r="B1463" s="316"/>
      <c r="C1463" s="316"/>
      <c r="D1463" s="316"/>
      <c r="E1463" s="316"/>
      <c r="F1463" s="316"/>
      <c r="G1463" s="317"/>
      <c r="H1463" s="285"/>
      <c r="I1463" s="287"/>
      <c r="J1463" s="288"/>
    </row>
    <row r="1464" spans="1:10" ht="11.1" customHeight="1" x14ac:dyDescent="0.3">
      <c r="A1464" s="29"/>
      <c r="B1464" s="30"/>
      <c r="C1464" s="29" t="s">
        <v>19</v>
      </c>
      <c r="D1464" s="29"/>
      <c r="E1464" s="29"/>
      <c r="F1464" s="31"/>
      <c r="G1464" s="29" t="s">
        <v>19</v>
      </c>
      <c r="H1464" s="285"/>
      <c r="I1464" s="287"/>
      <c r="J1464" s="288"/>
    </row>
    <row r="1465" spans="1:10" ht="11.1" customHeight="1" x14ac:dyDescent="0.3">
      <c r="A1465" s="24"/>
      <c r="B1465" s="2" t="s">
        <v>1</v>
      </c>
      <c r="C1465" s="24" t="s">
        <v>28</v>
      </c>
      <c r="D1465" s="24" t="s">
        <v>2</v>
      </c>
      <c r="E1465" s="24" t="s">
        <v>16</v>
      </c>
      <c r="F1465" s="32" t="s">
        <v>27</v>
      </c>
      <c r="G1465" s="24" t="s">
        <v>28</v>
      </c>
      <c r="H1465" s="285"/>
      <c r="I1465" s="287"/>
      <c r="J1465" s="288"/>
    </row>
    <row r="1466" spans="1:10" ht="11.1" customHeight="1" x14ac:dyDescent="0.3">
      <c r="A1466" s="33"/>
      <c r="B1466" s="129"/>
      <c r="C1466" s="33" t="s">
        <v>24</v>
      </c>
      <c r="D1466" s="33"/>
      <c r="E1466" s="34"/>
      <c r="F1466" s="35"/>
      <c r="G1466" s="33" t="s">
        <v>30</v>
      </c>
      <c r="H1466" s="285"/>
      <c r="I1466" s="287"/>
      <c r="J1466" s="288"/>
    </row>
    <row r="1467" spans="1:10" ht="11.1" customHeight="1" x14ac:dyDescent="0.3">
      <c r="A1467" s="37" t="s">
        <v>20</v>
      </c>
      <c r="B1467" s="131" t="s">
        <v>33</v>
      </c>
      <c r="C1467" s="42"/>
      <c r="D1467" s="42"/>
      <c r="E1467" s="38"/>
      <c r="F1467" s="38"/>
      <c r="G1467" s="38"/>
      <c r="H1467" s="285"/>
      <c r="I1467" s="287"/>
      <c r="J1467" s="288"/>
    </row>
    <row r="1468" spans="1:10" ht="11.1" customHeight="1" x14ac:dyDescent="0.3">
      <c r="A1468" s="101"/>
      <c r="B1468" s="132" t="s">
        <v>7</v>
      </c>
      <c r="C1468" s="39">
        <v>72306.009999999995</v>
      </c>
      <c r="D1468" s="5">
        <v>374767.73</v>
      </c>
      <c r="E1468" s="5">
        <f>C1468+D1468-G1468</f>
        <v>383497.06</v>
      </c>
      <c r="F1468" s="5"/>
      <c r="G1468" s="5">
        <f>77535.78-13959.1</f>
        <v>63576.68</v>
      </c>
      <c r="H1468" s="285"/>
      <c r="I1468" s="287"/>
      <c r="J1468" s="288"/>
    </row>
    <row r="1469" spans="1:10" ht="11.1" customHeight="1" x14ac:dyDescent="0.3">
      <c r="A1469" s="101"/>
      <c r="B1469" s="132" t="s">
        <v>17</v>
      </c>
      <c r="C1469" s="39">
        <f>D1469/12</f>
        <v>620</v>
      </c>
      <c r="D1469" s="5">
        <v>7440</v>
      </c>
      <c r="E1469" s="5">
        <f>C1469+D1469-G1469</f>
        <v>7390.4</v>
      </c>
      <c r="F1469" s="5"/>
      <c r="G1469" s="5">
        <f>D1469*9%</f>
        <v>669.6</v>
      </c>
      <c r="H1469" s="285"/>
      <c r="I1469" s="287"/>
      <c r="J1469" s="288"/>
    </row>
    <row r="1470" spans="1:10" ht="11.1" customHeight="1" x14ac:dyDescent="0.3">
      <c r="A1470" s="101"/>
      <c r="B1470" s="135" t="s">
        <v>23</v>
      </c>
      <c r="C1470" s="101">
        <f>SUM(C1468:C1469)</f>
        <v>72926.009999999995</v>
      </c>
      <c r="D1470" s="50">
        <f>SUM(D1468:D1469)</f>
        <v>382207.73</v>
      </c>
      <c r="E1470" s="50">
        <f>SUM(E1468:E1469)</f>
        <v>390887.46</v>
      </c>
      <c r="F1470" s="50">
        <f>D1470+4129.13</f>
        <v>386336.86</v>
      </c>
      <c r="G1470" s="50">
        <f>SUM(G1468:G1469)</f>
        <v>64246.28</v>
      </c>
      <c r="H1470" s="285"/>
      <c r="I1470" s="287"/>
      <c r="J1470" s="288"/>
    </row>
    <row r="1471" spans="1:10" ht="11.1" customHeight="1" x14ac:dyDescent="0.3">
      <c r="A1471" s="101"/>
      <c r="B1471" s="177"/>
      <c r="C1471" s="39"/>
      <c r="D1471" s="5"/>
      <c r="E1471" s="5"/>
      <c r="F1471" s="5"/>
      <c r="G1471" s="5"/>
      <c r="H1471" s="285"/>
      <c r="I1471" s="287"/>
      <c r="J1471" s="288"/>
    </row>
    <row r="1472" spans="1:10" ht="11.1" customHeight="1" x14ac:dyDescent="0.3">
      <c r="A1472" s="39">
        <v>2</v>
      </c>
      <c r="B1472" s="210" t="s">
        <v>34</v>
      </c>
      <c r="C1472" s="75">
        <v>0</v>
      </c>
      <c r="D1472" s="50">
        <v>153021.24</v>
      </c>
      <c r="E1472" s="50">
        <f>D1472-G1472</f>
        <v>130577.32999999999</v>
      </c>
      <c r="F1472" s="50">
        <f>D1472</f>
        <v>153021.24</v>
      </c>
      <c r="G1472" s="50">
        <f>13959.1+8203.85+280.96</f>
        <v>22443.91</v>
      </c>
      <c r="H1472" s="285"/>
      <c r="I1472" s="287"/>
      <c r="J1472" s="288"/>
    </row>
    <row r="1473" spans="1:10" ht="11.1" customHeight="1" x14ac:dyDescent="0.3">
      <c r="A1473" s="40"/>
      <c r="B1473" s="115"/>
      <c r="C1473" s="115"/>
      <c r="D1473" s="40"/>
      <c r="E1473" s="40"/>
      <c r="F1473" s="40"/>
      <c r="G1473" s="40"/>
      <c r="H1473" s="285"/>
      <c r="I1473" s="287"/>
      <c r="J1473" s="288"/>
    </row>
    <row r="1474" spans="1:10" ht="11.1" customHeight="1" x14ac:dyDescent="0.3">
      <c r="A1474" s="39" t="s">
        <v>22</v>
      </c>
      <c r="B1474" s="145" t="s">
        <v>50</v>
      </c>
      <c r="C1474" s="78">
        <v>60626.78</v>
      </c>
      <c r="D1474" s="50">
        <v>321477.96000000002</v>
      </c>
      <c r="E1474" s="50">
        <f>C1474+D1474-G1474</f>
        <v>328862.51</v>
      </c>
      <c r="F1474" s="50">
        <v>379636.44</v>
      </c>
      <c r="G1474" s="50">
        <f>61727.04-8203.85-280.96</f>
        <v>53242.23</v>
      </c>
      <c r="H1474" s="285"/>
      <c r="I1474" s="287"/>
      <c r="J1474" s="288"/>
    </row>
    <row r="1475" spans="1:10" ht="11.1" customHeight="1" x14ac:dyDescent="0.3">
      <c r="A1475" s="16"/>
      <c r="B1475" s="201"/>
      <c r="C1475" s="117"/>
      <c r="D1475" s="103"/>
      <c r="E1475" s="103"/>
      <c r="F1475" s="103"/>
      <c r="G1475" s="21"/>
      <c r="H1475" s="285"/>
      <c r="I1475" s="287"/>
      <c r="J1475" s="288"/>
    </row>
    <row r="1476" spans="1:10" ht="11.1" customHeight="1" x14ac:dyDescent="0.3">
      <c r="A1476" s="81"/>
      <c r="B1476" s="82" t="s">
        <v>74</v>
      </c>
      <c r="C1476" s="116">
        <f>C1474+C1472+C1470</f>
        <v>133552.78999999998</v>
      </c>
      <c r="D1476" s="116">
        <f>D1474+D1472+D1470</f>
        <v>856706.92999999993</v>
      </c>
      <c r="E1476" s="116">
        <f>E1474+E1472+E1470</f>
        <v>850327.3</v>
      </c>
      <c r="F1476" s="116">
        <f>F1474+F1472+F1470</f>
        <v>918994.53999999992</v>
      </c>
      <c r="G1476" s="116">
        <f>G1474+G1472+G1470</f>
        <v>139932.41999999998</v>
      </c>
      <c r="H1476" s="285"/>
      <c r="I1476" s="287"/>
      <c r="J1476" s="288"/>
    </row>
    <row r="1477" spans="1:10" ht="11.1" customHeight="1" x14ac:dyDescent="0.3">
      <c r="A1477" s="130"/>
      <c r="B1477" s="36"/>
      <c r="C1477" s="30"/>
      <c r="D1477" s="36"/>
      <c r="E1477" s="36"/>
      <c r="F1477" s="36"/>
      <c r="G1477" s="44"/>
      <c r="H1477" s="285"/>
      <c r="I1477" s="287"/>
      <c r="J1477" s="288"/>
    </row>
    <row r="1478" spans="1:10" ht="11.1" customHeight="1" x14ac:dyDescent="0.3">
      <c r="A1478" s="318" t="s">
        <v>18</v>
      </c>
      <c r="B1478" s="319"/>
      <c r="C1478" s="319"/>
      <c r="D1478" s="319"/>
      <c r="E1478" s="319"/>
      <c r="F1478" s="319"/>
      <c r="G1478" s="45"/>
      <c r="H1478" s="285"/>
      <c r="I1478" s="287"/>
      <c r="J1478" s="288"/>
    </row>
    <row r="1479" spans="1:10" ht="11.1" customHeight="1" x14ac:dyDescent="0.3">
      <c r="A1479" s="1"/>
      <c r="B1479" s="2"/>
      <c r="C1479" s="29" t="s">
        <v>19</v>
      </c>
      <c r="D1479" s="29"/>
      <c r="E1479" s="29"/>
      <c r="F1479" s="31"/>
      <c r="G1479" s="29" t="s">
        <v>19</v>
      </c>
      <c r="H1479" s="285"/>
      <c r="I1479" s="287"/>
      <c r="J1479" s="288"/>
    </row>
    <row r="1480" spans="1:10" ht="11.1" customHeight="1" x14ac:dyDescent="0.3">
      <c r="A1480" s="1" t="s">
        <v>15</v>
      </c>
      <c r="B1480" s="2" t="s">
        <v>1</v>
      </c>
      <c r="C1480" s="24" t="s">
        <v>28</v>
      </c>
      <c r="D1480" s="24" t="s">
        <v>2</v>
      </c>
      <c r="E1480" s="24" t="s">
        <v>16</v>
      </c>
      <c r="F1480" s="32" t="s">
        <v>27</v>
      </c>
      <c r="G1480" s="24" t="s">
        <v>28</v>
      </c>
      <c r="H1480" s="285"/>
      <c r="I1480" s="287"/>
      <c r="J1480" s="288"/>
    </row>
    <row r="1481" spans="1:10" ht="11.1" customHeight="1" x14ac:dyDescent="0.3">
      <c r="A1481" s="1"/>
      <c r="B1481" s="2"/>
      <c r="C1481" s="33" t="s">
        <v>24</v>
      </c>
      <c r="D1481" s="33"/>
      <c r="E1481" s="34"/>
      <c r="F1481" s="35"/>
      <c r="G1481" s="33" t="s">
        <v>30</v>
      </c>
      <c r="H1481" s="285"/>
      <c r="I1481" s="287"/>
      <c r="J1481" s="288"/>
    </row>
    <row r="1482" spans="1:10" ht="11.1" customHeight="1" x14ac:dyDescent="0.3">
      <c r="A1482" s="4" t="s">
        <v>0</v>
      </c>
      <c r="B1482" s="8"/>
      <c r="C1482" s="4"/>
      <c r="D1482" s="4"/>
      <c r="E1482" s="4"/>
      <c r="F1482" s="12"/>
      <c r="G1482" s="9"/>
      <c r="H1482" s="285"/>
      <c r="I1482" s="287"/>
      <c r="J1482" s="288"/>
    </row>
    <row r="1483" spans="1:10" ht="11.1" customHeight="1" x14ac:dyDescent="0.3">
      <c r="A1483" s="47" t="s">
        <v>20</v>
      </c>
      <c r="B1483" s="143" t="s">
        <v>21</v>
      </c>
      <c r="C1483" s="38"/>
      <c r="D1483" s="38"/>
      <c r="E1483" s="38"/>
      <c r="F1483" s="38"/>
      <c r="G1483" s="38"/>
      <c r="H1483" s="285"/>
      <c r="I1483" s="287"/>
      <c r="J1483" s="288"/>
    </row>
    <row r="1484" spans="1:10" ht="11.1" customHeight="1" x14ac:dyDescent="0.3">
      <c r="A1484" s="48"/>
      <c r="B1484" s="40" t="s">
        <v>85</v>
      </c>
      <c r="C1484" s="57">
        <f>123132.75-1311.04</f>
        <v>121821.71</v>
      </c>
      <c r="D1484" s="5">
        <v>765795.27</v>
      </c>
      <c r="E1484" s="71">
        <f>C1484+D1484-G1484</f>
        <v>737988.19</v>
      </c>
      <c r="F1484" s="77"/>
      <c r="G1484" s="57">
        <v>149628.79</v>
      </c>
      <c r="H1484" s="285"/>
      <c r="I1484" s="287"/>
      <c r="J1484" s="288"/>
    </row>
    <row r="1485" spans="1:10" ht="11.1" customHeight="1" x14ac:dyDescent="0.3">
      <c r="A1485" s="49"/>
      <c r="B1485" s="40" t="s">
        <v>86</v>
      </c>
      <c r="C1485" s="72">
        <f>2820.06+48172.96+11140.89+113.75</f>
        <v>62247.659999999996</v>
      </c>
      <c r="D1485" s="5">
        <v>321895.26</v>
      </c>
      <c r="E1485" s="71">
        <f>2385.73+178336.78+129265.7+52.28</f>
        <v>310040.49000000005</v>
      </c>
      <c r="F1485" s="77"/>
      <c r="G1485" s="72">
        <f>C1485+D1485-E1485</f>
        <v>74102.429999999935</v>
      </c>
      <c r="H1485" s="285"/>
      <c r="I1485" s="287"/>
      <c r="J1485" s="288"/>
    </row>
    <row r="1486" spans="1:10" ht="11.1" customHeight="1" x14ac:dyDescent="0.3">
      <c r="A1486" s="49"/>
      <c r="B1486" s="135" t="s">
        <v>23</v>
      </c>
      <c r="C1486" s="50">
        <f>SUM(C1484:C1485)</f>
        <v>184069.37</v>
      </c>
      <c r="D1486" s="50">
        <f>SUM(D1484:D1485)</f>
        <v>1087690.53</v>
      </c>
      <c r="E1486" s="50">
        <f>SUM(E1484:E1485)</f>
        <v>1048028.6799999999</v>
      </c>
      <c r="F1486" s="50">
        <f>D1486</f>
        <v>1087690.53</v>
      </c>
      <c r="G1486" s="50">
        <f>SUM(G1484:G1485)</f>
        <v>223731.21999999994</v>
      </c>
      <c r="H1486" s="285"/>
      <c r="I1486" s="287"/>
      <c r="J1486" s="288"/>
    </row>
    <row r="1487" spans="1:10" ht="11.1" customHeight="1" x14ac:dyDescent="0.3">
      <c r="A1487" s="49"/>
      <c r="B1487" s="138"/>
      <c r="C1487" s="5"/>
      <c r="D1487" s="14"/>
      <c r="E1487" s="5"/>
      <c r="F1487" s="14"/>
      <c r="G1487" s="5"/>
      <c r="H1487" s="285"/>
      <c r="I1487" s="287"/>
      <c r="J1487" s="288"/>
    </row>
    <row r="1488" spans="1:10" ht="11.1" customHeight="1" x14ac:dyDescent="0.3">
      <c r="A1488" s="101" t="s">
        <v>26</v>
      </c>
      <c r="B1488" s="137" t="s">
        <v>87</v>
      </c>
      <c r="C1488" s="50">
        <f>63873.65+38617.28</f>
        <v>102490.93</v>
      </c>
      <c r="D1488" s="50">
        <f>348879.12+202848.29</f>
        <v>551727.41</v>
      </c>
      <c r="E1488" s="50">
        <f>C1488+D1488-G1488</f>
        <v>543024.79</v>
      </c>
      <c r="F1488" s="50">
        <f>D1488</f>
        <v>551727.41</v>
      </c>
      <c r="G1488" s="50">
        <f>71191.49+40002.06</f>
        <v>111193.55</v>
      </c>
      <c r="H1488" s="285"/>
      <c r="I1488" s="287"/>
      <c r="J1488" s="288"/>
    </row>
    <row r="1489" spans="1:10" ht="11.1" customHeight="1" x14ac:dyDescent="0.3">
      <c r="A1489" s="101"/>
      <c r="B1489" s="145"/>
      <c r="C1489" s="5"/>
      <c r="D1489" s="13"/>
      <c r="E1489" s="5"/>
      <c r="F1489" s="5"/>
      <c r="G1489" s="5"/>
      <c r="H1489" s="285"/>
      <c r="I1489" s="287"/>
      <c r="J1489" s="288"/>
    </row>
    <row r="1490" spans="1:10" ht="11.1" customHeight="1" x14ac:dyDescent="0.3">
      <c r="A1490" s="100">
        <v>3</v>
      </c>
      <c r="B1490" s="183" t="s">
        <v>69</v>
      </c>
      <c r="C1490" s="52">
        <v>66918.67</v>
      </c>
      <c r="D1490" s="190">
        <v>450485.67</v>
      </c>
      <c r="E1490" s="80">
        <v>453987.02</v>
      </c>
      <c r="F1490" s="80">
        <f>404200.2+46569.6</f>
        <v>450769.8</v>
      </c>
      <c r="G1490" s="52">
        <f>C1490+D1490-E1490</f>
        <v>63417.319999999949</v>
      </c>
      <c r="H1490" s="285"/>
      <c r="I1490" s="287"/>
      <c r="J1490" s="288"/>
    </row>
    <row r="1491" spans="1:10" ht="11.1" customHeight="1" x14ac:dyDescent="0.3">
      <c r="A1491" s="1"/>
      <c r="B1491" s="201"/>
      <c r="C1491" s="17"/>
      <c r="D1491" s="107"/>
      <c r="E1491" s="17"/>
      <c r="F1491" s="17"/>
      <c r="G1491" s="17"/>
      <c r="H1491" s="285"/>
      <c r="I1491" s="287"/>
      <c r="J1491" s="288"/>
    </row>
    <row r="1492" spans="1:10" ht="11.1" customHeight="1" x14ac:dyDescent="0.3">
      <c r="A1492" s="82"/>
      <c r="B1492" s="82" t="s">
        <v>74</v>
      </c>
      <c r="C1492" s="90">
        <f>C1490+C1488+C1486</f>
        <v>353478.97</v>
      </c>
      <c r="D1492" s="90">
        <f>D1490+D1488+D1486</f>
        <v>2089903.61</v>
      </c>
      <c r="E1492" s="90">
        <f>E1490+E1488+E1486</f>
        <v>2045040.49</v>
      </c>
      <c r="F1492" s="90">
        <f>F1490+F1488+F1486</f>
        <v>2090187.74</v>
      </c>
      <c r="G1492" s="90">
        <f>G1490+G1488+G1486</f>
        <v>398342.08999999985</v>
      </c>
      <c r="H1492" s="285"/>
      <c r="I1492" s="287"/>
      <c r="J1492" s="288"/>
    </row>
    <row r="1493" spans="1:10" ht="11.1" customHeight="1" x14ac:dyDescent="0.3">
      <c r="A1493" s="148"/>
      <c r="B1493" s="148"/>
      <c r="C1493" s="148"/>
      <c r="D1493" s="148"/>
      <c r="E1493" s="148"/>
      <c r="F1493" s="148"/>
      <c r="G1493" s="148"/>
      <c r="H1493" s="285"/>
      <c r="I1493" s="287"/>
      <c r="J1493" s="288"/>
    </row>
    <row r="1494" spans="1:10" ht="11.1" customHeight="1" x14ac:dyDescent="0.3">
      <c r="A1494" s="148"/>
      <c r="B1494" s="148"/>
      <c r="C1494" s="148"/>
      <c r="D1494" s="148"/>
      <c r="E1494" s="148"/>
      <c r="F1494" s="148"/>
      <c r="G1494" s="148"/>
      <c r="H1494" s="285"/>
      <c r="I1494" s="287"/>
      <c r="J1494" s="288"/>
    </row>
    <row r="1495" spans="1:10" ht="11.1" customHeight="1" x14ac:dyDescent="0.3">
      <c r="A1495" s="148"/>
      <c r="B1495" s="148"/>
      <c r="C1495" s="148"/>
      <c r="D1495" s="148"/>
      <c r="E1495" s="148"/>
      <c r="F1495" s="148"/>
      <c r="G1495" s="148"/>
      <c r="H1495" s="285"/>
      <c r="I1495" s="287"/>
      <c r="J1495" s="288"/>
    </row>
    <row r="1496" spans="1:10" ht="11.1" customHeight="1" x14ac:dyDescent="0.3">
      <c r="A1496" s="148"/>
      <c r="B1496" s="148"/>
      <c r="C1496" s="148"/>
      <c r="D1496" s="148"/>
      <c r="E1496" s="148"/>
      <c r="F1496" s="148"/>
      <c r="G1496" s="148"/>
      <c r="H1496" s="285"/>
      <c r="I1496" s="287"/>
      <c r="J1496" s="288"/>
    </row>
    <row r="1497" spans="1:10" ht="11.1" customHeight="1" x14ac:dyDescent="0.3">
      <c r="A1497" s="148"/>
      <c r="B1497" s="148"/>
      <c r="C1497" s="148"/>
      <c r="D1497" s="148"/>
      <c r="E1497" s="148"/>
      <c r="F1497" s="148"/>
      <c r="G1497" s="148"/>
      <c r="H1497" s="285"/>
      <c r="I1497" s="287"/>
      <c r="J1497" s="288"/>
    </row>
    <row r="1498" spans="1:10" ht="11.1" customHeight="1" x14ac:dyDescent="0.3">
      <c r="A1498" s="148"/>
      <c r="B1498" s="148"/>
      <c r="C1498" s="148"/>
      <c r="D1498" s="148"/>
      <c r="E1498" s="148"/>
      <c r="F1498" s="148"/>
      <c r="G1498" s="148"/>
      <c r="H1498" s="285"/>
      <c r="I1498" s="287"/>
      <c r="J1498" s="288"/>
    </row>
    <row r="1499" spans="1:10" ht="11.1" customHeight="1" x14ac:dyDescent="0.3">
      <c r="A1499" s="148"/>
      <c r="B1499" s="148"/>
      <c r="C1499" s="148"/>
      <c r="D1499" s="148"/>
      <c r="E1499" s="148"/>
      <c r="F1499" s="148"/>
      <c r="G1499" s="148"/>
      <c r="H1499" s="285"/>
      <c r="I1499" s="287"/>
      <c r="J1499" s="288"/>
    </row>
    <row r="1500" spans="1:10" ht="11.1" customHeight="1" x14ac:dyDescent="0.3">
      <c r="A1500" s="148"/>
      <c r="B1500" s="148"/>
      <c r="C1500" s="148"/>
      <c r="D1500" s="148"/>
      <c r="E1500" s="148"/>
      <c r="F1500" s="148"/>
      <c r="G1500" s="148"/>
      <c r="H1500" s="285"/>
      <c r="I1500" s="287"/>
      <c r="J1500" s="288"/>
    </row>
    <row r="1501" spans="1:10" ht="11.1" customHeight="1" x14ac:dyDescent="0.3">
      <c r="A1501" s="148"/>
      <c r="B1501" s="148"/>
      <c r="C1501" s="148"/>
      <c r="D1501" s="148"/>
      <c r="E1501" s="148"/>
      <c r="F1501" s="148"/>
      <c r="G1501" s="148"/>
      <c r="H1501" s="285"/>
      <c r="I1501" s="287"/>
      <c r="J1501" s="288"/>
    </row>
    <row r="1502" spans="1:10" ht="11.1" customHeight="1" x14ac:dyDescent="0.3">
      <c r="A1502" s="305" t="s">
        <v>6</v>
      </c>
      <c r="B1502" s="305"/>
      <c r="C1502" s="305"/>
      <c r="D1502" s="305"/>
      <c r="E1502" s="305"/>
      <c r="F1502" s="305"/>
      <c r="G1502" s="305"/>
      <c r="H1502" s="285"/>
      <c r="I1502" s="287"/>
      <c r="J1502" s="288"/>
    </row>
    <row r="1503" spans="1:10" ht="11.1" customHeight="1" x14ac:dyDescent="0.3">
      <c r="A1503" s="305" t="s">
        <v>35</v>
      </c>
      <c r="B1503" s="305"/>
      <c r="C1503" s="305"/>
      <c r="D1503" s="305"/>
      <c r="E1503" s="305"/>
      <c r="F1503" s="305"/>
      <c r="G1503" s="305"/>
      <c r="H1503" s="285"/>
      <c r="I1503" s="287"/>
      <c r="J1503" s="288"/>
    </row>
    <row r="1504" spans="1:10" ht="11.1" customHeight="1" x14ac:dyDescent="0.3">
      <c r="A1504" s="311" t="s">
        <v>36</v>
      </c>
      <c r="B1504" s="311"/>
      <c r="C1504" s="311"/>
      <c r="D1504" s="311"/>
      <c r="E1504" s="311"/>
      <c r="F1504" s="311"/>
      <c r="G1504" s="311"/>
      <c r="H1504" s="285"/>
      <c r="I1504" s="287"/>
      <c r="J1504" s="288"/>
    </row>
    <row r="1505" spans="1:10" ht="11.1" customHeight="1" x14ac:dyDescent="0.3">
      <c r="A1505" s="312" t="s">
        <v>68</v>
      </c>
      <c r="B1505" s="313"/>
      <c r="C1505" s="313"/>
      <c r="D1505" s="313"/>
      <c r="E1505" s="313"/>
      <c r="F1505" s="313"/>
      <c r="G1505" s="314"/>
      <c r="H1505" s="285"/>
      <c r="I1505" s="287"/>
      <c r="J1505" s="288"/>
    </row>
    <row r="1506" spans="1:10" ht="11.1" customHeight="1" x14ac:dyDescent="0.3">
      <c r="A1506" s="25"/>
      <c r="B1506" s="292" t="s">
        <v>3</v>
      </c>
      <c r="C1506" s="293"/>
      <c r="D1506" s="293"/>
      <c r="E1506" s="293"/>
      <c r="F1506" s="293"/>
      <c r="G1506" s="294"/>
      <c r="H1506" s="285"/>
      <c r="I1506" s="287"/>
      <c r="J1506" s="288"/>
    </row>
    <row r="1507" spans="1:10" ht="11.1" customHeight="1" x14ac:dyDescent="0.3">
      <c r="A1507" s="26">
        <v>1</v>
      </c>
      <c r="B1507" s="295" t="s">
        <v>4</v>
      </c>
      <c r="C1507" s="296"/>
      <c r="D1507" s="296"/>
      <c r="E1507" s="297"/>
      <c r="F1507" s="298">
        <v>1979</v>
      </c>
      <c r="G1507" s="299"/>
      <c r="H1507" s="285"/>
      <c r="I1507" s="287"/>
      <c r="J1507" s="288"/>
    </row>
    <row r="1508" spans="1:10" ht="11.1" customHeight="1" x14ac:dyDescent="0.3">
      <c r="A1508" s="27">
        <v>2</v>
      </c>
      <c r="B1508" s="300" t="s">
        <v>12</v>
      </c>
      <c r="C1508" s="301"/>
      <c r="D1508" s="301"/>
      <c r="E1508" s="302"/>
      <c r="F1508" s="303">
        <v>3</v>
      </c>
      <c r="G1508" s="304"/>
      <c r="H1508" s="285"/>
      <c r="I1508" s="287"/>
      <c r="J1508" s="288"/>
    </row>
    <row r="1509" spans="1:10" ht="11.1" customHeight="1" x14ac:dyDescent="0.3">
      <c r="A1509" s="27">
        <v>3</v>
      </c>
      <c r="B1509" s="300" t="s">
        <v>14</v>
      </c>
      <c r="C1509" s="301"/>
      <c r="D1509" s="301"/>
      <c r="E1509" s="302"/>
      <c r="F1509" s="303">
        <v>3</v>
      </c>
      <c r="G1509" s="304"/>
      <c r="H1509" s="285"/>
      <c r="I1509" s="287"/>
      <c r="J1509" s="288"/>
    </row>
    <row r="1510" spans="1:10" ht="11.1" customHeight="1" x14ac:dyDescent="0.3">
      <c r="A1510" s="27">
        <v>4</v>
      </c>
      <c r="B1510" s="300" t="s">
        <v>98</v>
      </c>
      <c r="C1510" s="301"/>
      <c r="D1510" s="301"/>
      <c r="E1510" s="302"/>
      <c r="F1510" s="303">
        <v>36</v>
      </c>
      <c r="G1510" s="304"/>
      <c r="H1510" s="285"/>
      <c r="I1510" s="287"/>
      <c r="J1510" s="288"/>
    </row>
    <row r="1511" spans="1:10" ht="11.1" customHeight="1" x14ac:dyDescent="0.3">
      <c r="A1511" s="27">
        <v>5</v>
      </c>
      <c r="B1511" s="300" t="s">
        <v>10</v>
      </c>
      <c r="C1511" s="301"/>
      <c r="D1511" s="301"/>
      <c r="E1511" s="302"/>
      <c r="F1511" s="303">
        <v>148.4</v>
      </c>
      <c r="G1511" s="304"/>
      <c r="H1511" s="285"/>
      <c r="I1511" s="287"/>
      <c r="J1511" s="288"/>
    </row>
    <row r="1512" spans="1:10" ht="11.1" customHeight="1" x14ac:dyDescent="0.3">
      <c r="A1512" s="27">
        <v>6</v>
      </c>
      <c r="B1512" s="300" t="s">
        <v>11</v>
      </c>
      <c r="C1512" s="301"/>
      <c r="D1512" s="301"/>
      <c r="E1512" s="302"/>
      <c r="F1512" s="303">
        <v>1840.9</v>
      </c>
      <c r="G1512" s="304"/>
      <c r="H1512" s="285"/>
      <c r="I1512" s="287"/>
      <c r="J1512" s="288"/>
    </row>
    <row r="1513" spans="1:10" ht="11.1" customHeight="1" x14ac:dyDescent="0.3">
      <c r="A1513" s="28">
        <v>7</v>
      </c>
      <c r="B1513" s="306" t="s">
        <v>9</v>
      </c>
      <c r="C1513" s="307"/>
      <c r="D1513" s="307"/>
      <c r="E1513" s="308"/>
      <c r="F1513" s="309">
        <v>0</v>
      </c>
      <c r="G1513" s="310"/>
      <c r="H1513" s="285"/>
      <c r="I1513" s="287"/>
      <c r="J1513" s="288"/>
    </row>
    <row r="1514" spans="1:10" ht="11.1" customHeight="1" x14ac:dyDescent="0.3">
      <c r="A1514" s="255"/>
      <c r="B1514" s="251"/>
      <c r="C1514" s="251"/>
      <c r="D1514" s="251"/>
      <c r="E1514" s="251"/>
      <c r="F1514" s="256"/>
      <c r="G1514" s="250"/>
      <c r="H1514" s="285"/>
      <c r="I1514" s="287"/>
      <c r="J1514" s="288"/>
    </row>
    <row r="1515" spans="1:10" ht="11.1" customHeight="1" x14ac:dyDescent="0.3">
      <c r="A1515" s="315" t="s">
        <v>99</v>
      </c>
      <c r="B1515" s="316"/>
      <c r="C1515" s="316"/>
      <c r="D1515" s="316"/>
      <c r="E1515" s="316"/>
      <c r="F1515" s="316"/>
      <c r="G1515" s="317"/>
      <c r="H1515" s="285"/>
      <c r="I1515" s="287"/>
      <c r="J1515" s="288"/>
    </row>
    <row r="1516" spans="1:10" ht="11.1" customHeight="1" x14ac:dyDescent="0.3">
      <c r="A1516" s="29"/>
      <c r="B1516" s="30"/>
      <c r="C1516" s="29" t="s">
        <v>19</v>
      </c>
      <c r="D1516" s="29"/>
      <c r="E1516" s="29"/>
      <c r="F1516" s="31"/>
      <c r="G1516" s="29" t="s">
        <v>19</v>
      </c>
      <c r="H1516" s="285"/>
      <c r="I1516" s="287"/>
      <c r="J1516" s="288"/>
    </row>
    <row r="1517" spans="1:10" ht="11.1" customHeight="1" x14ac:dyDescent="0.3">
      <c r="A1517" s="24"/>
      <c r="B1517" s="2" t="s">
        <v>1</v>
      </c>
      <c r="C1517" s="24" t="s">
        <v>28</v>
      </c>
      <c r="D1517" s="24" t="s">
        <v>2</v>
      </c>
      <c r="E1517" s="24" t="s">
        <v>16</v>
      </c>
      <c r="F1517" s="32" t="s">
        <v>27</v>
      </c>
      <c r="G1517" s="24" t="s">
        <v>28</v>
      </c>
      <c r="H1517" s="285"/>
      <c r="I1517" s="287"/>
      <c r="J1517" s="288"/>
    </row>
    <row r="1518" spans="1:10" ht="11.1" customHeight="1" x14ac:dyDescent="0.3">
      <c r="A1518" s="33"/>
      <c r="B1518" s="35"/>
      <c r="C1518" s="35" t="s">
        <v>24</v>
      </c>
      <c r="D1518" s="33"/>
      <c r="E1518" s="34"/>
      <c r="F1518" s="35"/>
      <c r="G1518" s="33" t="s">
        <v>30</v>
      </c>
      <c r="H1518" s="285"/>
      <c r="I1518" s="287"/>
      <c r="J1518" s="288"/>
    </row>
    <row r="1519" spans="1:10" ht="11.1" customHeight="1" x14ac:dyDescent="0.3">
      <c r="A1519" s="37" t="s">
        <v>20</v>
      </c>
      <c r="B1519" s="211" t="s">
        <v>33</v>
      </c>
      <c r="C1519" s="212"/>
      <c r="D1519" s="42"/>
      <c r="E1519" s="38"/>
      <c r="F1519" s="38"/>
      <c r="G1519" s="38"/>
      <c r="H1519" s="285"/>
      <c r="I1519" s="287"/>
      <c r="J1519" s="288"/>
    </row>
    <row r="1520" spans="1:10" ht="11.1" customHeight="1" x14ac:dyDescent="0.3">
      <c r="A1520" s="101"/>
      <c r="B1520" s="213" t="s">
        <v>7</v>
      </c>
      <c r="C1520" s="214">
        <f>25879.72</f>
        <v>25879.72</v>
      </c>
      <c r="D1520" s="5">
        <v>161208.82</v>
      </c>
      <c r="E1520" s="5">
        <f>C1520+D1520-G1520</f>
        <v>164677.69</v>
      </c>
      <c r="F1520" s="5"/>
      <c r="G1520" s="5">
        <f>28852.53-6441.68</f>
        <v>22410.85</v>
      </c>
      <c r="H1520" s="285"/>
      <c r="I1520" s="287"/>
      <c r="J1520" s="288"/>
    </row>
    <row r="1521" spans="1:10" ht="11.1" customHeight="1" x14ac:dyDescent="0.3">
      <c r="A1521" s="101"/>
      <c r="B1521" s="213" t="s">
        <v>17</v>
      </c>
      <c r="C1521" s="215">
        <f>D1521/12</f>
        <v>210</v>
      </c>
      <c r="D1521" s="14">
        <v>2520</v>
      </c>
      <c r="E1521" s="5">
        <f>C1521+D1521-G1521</f>
        <v>2503.1999999999998</v>
      </c>
      <c r="F1521" s="5"/>
      <c r="G1521" s="5">
        <f>D1521*9%</f>
        <v>226.79999999999998</v>
      </c>
      <c r="H1521" s="285"/>
      <c r="I1521" s="287"/>
      <c r="J1521" s="288"/>
    </row>
    <row r="1522" spans="1:10" ht="11.1" customHeight="1" x14ac:dyDescent="0.3">
      <c r="A1522" s="101"/>
      <c r="B1522" s="177" t="s">
        <v>23</v>
      </c>
      <c r="C1522" s="216">
        <f>SUM(C1520:C1521)</f>
        <v>26089.72</v>
      </c>
      <c r="D1522" s="50">
        <f>SUM(D1520:D1521)</f>
        <v>163728.82</v>
      </c>
      <c r="E1522" s="50">
        <f>SUM(E1520:E1521)</f>
        <v>167180.89000000001</v>
      </c>
      <c r="F1522" s="50">
        <f>D1522+1539.01</f>
        <v>165267.83000000002</v>
      </c>
      <c r="G1522" s="50">
        <f>SUM(G1520:G1521)</f>
        <v>22637.649999999998</v>
      </c>
      <c r="H1522" s="285"/>
      <c r="I1522" s="287"/>
      <c r="J1522" s="288"/>
    </row>
    <row r="1523" spans="1:10" ht="11.1" customHeight="1" x14ac:dyDescent="0.3">
      <c r="A1523" s="101"/>
      <c r="B1523" s="177"/>
      <c r="C1523" s="214"/>
      <c r="D1523" s="5"/>
      <c r="E1523" s="5"/>
      <c r="F1523" s="5"/>
      <c r="G1523" s="5"/>
      <c r="H1523" s="285"/>
      <c r="I1523" s="287"/>
      <c r="J1523" s="288"/>
    </row>
    <row r="1524" spans="1:10" ht="11.1" customHeight="1" x14ac:dyDescent="0.3">
      <c r="A1524" s="39">
        <v>2</v>
      </c>
      <c r="B1524" s="210" t="s">
        <v>34</v>
      </c>
      <c r="C1524" s="217">
        <v>0</v>
      </c>
      <c r="D1524" s="50">
        <f>42247.89+23415.75+2264.19</f>
        <v>67927.83</v>
      </c>
      <c r="E1524" s="50">
        <f>D1524-G1524</f>
        <v>57570.67</v>
      </c>
      <c r="F1524" s="78">
        <f>D1524</f>
        <v>67927.83</v>
      </c>
      <c r="G1524" s="50">
        <f>6441.68+3806.63+108.85</f>
        <v>10357.160000000002</v>
      </c>
      <c r="H1524" s="285"/>
      <c r="I1524" s="287"/>
      <c r="J1524" s="288"/>
    </row>
    <row r="1525" spans="1:10" ht="11.1" customHeight="1" x14ac:dyDescent="0.3">
      <c r="A1525" s="40"/>
      <c r="B1525" s="115"/>
      <c r="C1525" s="40"/>
      <c r="D1525" s="115"/>
      <c r="E1525" s="40"/>
      <c r="F1525" s="40"/>
      <c r="G1525" s="115"/>
      <c r="H1525" s="285"/>
      <c r="I1525" s="287"/>
      <c r="J1525" s="288"/>
    </row>
    <row r="1526" spans="1:10" ht="11.1" customHeight="1" x14ac:dyDescent="0.3">
      <c r="A1526" s="39" t="s">
        <v>22</v>
      </c>
      <c r="B1526" s="145" t="s">
        <v>50</v>
      </c>
      <c r="C1526" s="50">
        <v>20902.080000000002</v>
      </c>
      <c r="D1526" s="50">
        <v>142706.91</v>
      </c>
      <c r="E1526" s="50">
        <f>C1526+D1526-G1526</f>
        <v>143473.53</v>
      </c>
      <c r="F1526" s="23">
        <v>196865.82</v>
      </c>
      <c r="G1526" s="78">
        <f>24050.94-3806.63-108.85</f>
        <v>20135.46</v>
      </c>
      <c r="H1526" s="285"/>
      <c r="I1526" s="287"/>
      <c r="J1526" s="288"/>
    </row>
    <row r="1527" spans="1:10" ht="11.1" customHeight="1" x14ac:dyDescent="0.3">
      <c r="A1527" s="16"/>
      <c r="B1527" s="201"/>
      <c r="C1527" s="9"/>
      <c r="D1527" s="7"/>
      <c r="E1527" s="9"/>
      <c r="F1527" s="23"/>
      <c r="G1527" s="21"/>
      <c r="H1527" s="285"/>
      <c r="I1527" s="287"/>
      <c r="J1527" s="288"/>
    </row>
    <row r="1528" spans="1:10" ht="11.1" customHeight="1" x14ac:dyDescent="0.3">
      <c r="A1528" s="81"/>
      <c r="B1528" s="218" t="s">
        <v>74</v>
      </c>
      <c r="C1528" s="116">
        <f>C1526+C1524+C1522</f>
        <v>46991.8</v>
      </c>
      <c r="D1528" s="116">
        <f>D1526+D1524+D1522</f>
        <v>374363.56</v>
      </c>
      <c r="E1528" s="116">
        <f>E1526+E1524+E1522</f>
        <v>368225.09</v>
      </c>
      <c r="F1528" s="116">
        <f>F1526+F1524+F1522</f>
        <v>430061.48000000004</v>
      </c>
      <c r="G1528" s="116">
        <f>G1526+G1524+G1522</f>
        <v>53130.270000000004</v>
      </c>
      <c r="H1528" s="285"/>
      <c r="I1528" s="287"/>
      <c r="J1528" s="288"/>
    </row>
    <row r="1529" spans="1:10" ht="11.1" customHeight="1" x14ac:dyDescent="0.3">
      <c r="A1529" s="130"/>
      <c r="B1529" s="36"/>
      <c r="C1529" s="30"/>
      <c r="D1529" s="36"/>
      <c r="E1529" s="36"/>
      <c r="F1529" s="36"/>
      <c r="G1529" s="44"/>
      <c r="H1529" s="285"/>
      <c r="I1529" s="287"/>
      <c r="J1529" s="288"/>
    </row>
    <row r="1530" spans="1:10" ht="11.1" customHeight="1" x14ac:dyDescent="0.3">
      <c r="A1530" s="318" t="s">
        <v>18</v>
      </c>
      <c r="B1530" s="319"/>
      <c r="C1530" s="319"/>
      <c r="D1530" s="319"/>
      <c r="E1530" s="319"/>
      <c r="F1530" s="319"/>
      <c r="G1530" s="45"/>
      <c r="H1530" s="285"/>
      <c r="I1530" s="287"/>
      <c r="J1530" s="288"/>
    </row>
    <row r="1531" spans="1:10" ht="11.1" customHeight="1" x14ac:dyDescent="0.3">
      <c r="A1531" s="1"/>
      <c r="B1531" s="2"/>
      <c r="C1531" s="29" t="s">
        <v>19</v>
      </c>
      <c r="D1531" s="29"/>
      <c r="E1531" s="29"/>
      <c r="F1531" s="31"/>
      <c r="G1531" s="29" t="s">
        <v>19</v>
      </c>
      <c r="H1531" s="285"/>
      <c r="I1531" s="287"/>
      <c r="J1531" s="288"/>
    </row>
    <row r="1532" spans="1:10" ht="11.1" customHeight="1" x14ac:dyDescent="0.3">
      <c r="A1532" s="1" t="s">
        <v>15</v>
      </c>
      <c r="B1532" s="2" t="s">
        <v>1</v>
      </c>
      <c r="C1532" s="24" t="s">
        <v>28</v>
      </c>
      <c r="D1532" s="24" t="s">
        <v>2</v>
      </c>
      <c r="E1532" s="24" t="s">
        <v>16</v>
      </c>
      <c r="F1532" s="32" t="s">
        <v>27</v>
      </c>
      <c r="G1532" s="24" t="s">
        <v>28</v>
      </c>
      <c r="H1532" s="285"/>
      <c r="I1532" s="287"/>
      <c r="J1532" s="288"/>
    </row>
    <row r="1533" spans="1:10" ht="11.1" customHeight="1" x14ac:dyDescent="0.3">
      <c r="A1533" s="1"/>
      <c r="B1533" s="2"/>
      <c r="C1533" s="33" t="s">
        <v>24</v>
      </c>
      <c r="D1533" s="33"/>
      <c r="E1533" s="34"/>
      <c r="F1533" s="35"/>
      <c r="G1533" s="33" t="s">
        <v>30</v>
      </c>
      <c r="H1533" s="285"/>
      <c r="I1533" s="287"/>
      <c r="J1533" s="288"/>
    </row>
    <row r="1534" spans="1:10" ht="11.1" customHeight="1" x14ac:dyDescent="0.3">
      <c r="A1534" s="47" t="s">
        <v>20</v>
      </c>
      <c r="B1534" s="143" t="s">
        <v>21</v>
      </c>
      <c r="C1534" s="38"/>
      <c r="D1534" s="38"/>
      <c r="E1534" s="38"/>
      <c r="F1534" s="38"/>
      <c r="G1534" s="38"/>
      <c r="H1534" s="285"/>
      <c r="I1534" s="287"/>
      <c r="J1534" s="288"/>
    </row>
    <row r="1535" spans="1:10" ht="11.1" customHeight="1" x14ac:dyDescent="0.3">
      <c r="A1535" s="48"/>
      <c r="B1535" s="40" t="s">
        <v>114</v>
      </c>
      <c r="C1535" s="57">
        <f>48863.06+0</f>
        <v>48863.06</v>
      </c>
      <c r="D1535" s="5">
        <v>458347.08</v>
      </c>
      <c r="E1535" s="71">
        <f>C1535+D1535-G1535</f>
        <v>428911.54000000004</v>
      </c>
      <c r="F1535" s="77"/>
      <c r="G1535" s="57">
        <v>78298.600000000006</v>
      </c>
      <c r="H1535" s="285"/>
      <c r="I1535" s="287"/>
      <c r="J1535" s="288"/>
    </row>
    <row r="1536" spans="1:10" ht="11.1" customHeight="1" x14ac:dyDescent="0.3">
      <c r="A1536" s="49"/>
      <c r="B1536" s="40" t="s">
        <v>115</v>
      </c>
      <c r="C1536" s="72">
        <f>24719.03+2303.24+6.75</f>
        <v>27029.019999999997</v>
      </c>
      <c r="D1536" s="5">
        <v>140721.37</v>
      </c>
      <c r="E1536" s="71">
        <f>C1536+D1536-G1536</f>
        <v>139616.88999999998</v>
      </c>
      <c r="F1536" s="77"/>
      <c r="G1536" s="72">
        <f>22953.57+5179.93+0</f>
        <v>28133.5</v>
      </c>
      <c r="H1536" s="285"/>
      <c r="I1536" s="287"/>
      <c r="J1536" s="288"/>
    </row>
    <row r="1537" spans="1:10" ht="11.1" customHeight="1" x14ac:dyDescent="0.3">
      <c r="A1537" s="49"/>
      <c r="B1537" s="135" t="s">
        <v>23</v>
      </c>
      <c r="C1537" s="50">
        <f>SUM(C1535:C1536)</f>
        <v>75892.079999999987</v>
      </c>
      <c r="D1537" s="50">
        <f>SUM(D1535:D1536)</f>
        <v>599068.44999999995</v>
      </c>
      <c r="E1537" s="50">
        <f>SUM(E1535:E1536)</f>
        <v>568528.43000000005</v>
      </c>
      <c r="F1537" s="50">
        <v>598711.49</v>
      </c>
      <c r="G1537" s="50">
        <f>SUM(G1535:G1536)</f>
        <v>106432.1</v>
      </c>
      <c r="H1537" s="285"/>
      <c r="I1537" s="287"/>
      <c r="J1537" s="288"/>
    </row>
    <row r="1538" spans="1:10" ht="11.1" customHeight="1" x14ac:dyDescent="0.3">
      <c r="A1538" s="49"/>
      <c r="B1538" s="138"/>
      <c r="C1538" s="5"/>
      <c r="D1538" s="14"/>
      <c r="E1538" s="5"/>
      <c r="F1538" s="14"/>
      <c r="G1538" s="5"/>
      <c r="H1538" s="285"/>
      <c r="I1538" s="287"/>
      <c r="J1538" s="288"/>
    </row>
    <row r="1539" spans="1:10" ht="11.1" customHeight="1" x14ac:dyDescent="0.3">
      <c r="A1539" s="101" t="s">
        <v>26</v>
      </c>
      <c r="B1539" s="137" t="s">
        <v>29</v>
      </c>
      <c r="C1539" s="50">
        <f>28064.52+16784.53</f>
        <v>44849.05</v>
      </c>
      <c r="D1539" s="50">
        <f>147921.51+84082.06</f>
        <v>232003.57</v>
      </c>
      <c r="E1539" s="50">
        <f>C1539+D1539-G1539</f>
        <v>229243.41</v>
      </c>
      <c r="F1539" s="50">
        <f>D1539</f>
        <v>232003.57</v>
      </c>
      <c r="G1539" s="50">
        <f>30225.94+17383.27</f>
        <v>47609.21</v>
      </c>
      <c r="H1539" s="285"/>
      <c r="I1539" s="287"/>
      <c r="J1539" s="288"/>
    </row>
    <row r="1540" spans="1:10" ht="11.1" customHeight="1" x14ac:dyDescent="0.3">
      <c r="A1540" s="101"/>
      <c r="B1540" s="145"/>
      <c r="C1540" s="5"/>
      <c r="D1540" s="13"/>
      <c r="E1540" s="5"/>
      <c r="F1540" s="5"/>
      <c r="G1540" s="5"/>
      <c r="H1540" s="285"/>
      <c r="I1540" s="287"/>
      <c r="J1540" s="288"/>
    </row>
    <row r="1541" spans="1:10" ht="11.1" customHeight="1" x14ac:dyDescent="0.3">
      <c r="A1541" s="219">
        <v>3</v>
      </c>
      <c r="B1541" s="220" t="s">
        <v>69</v>
      </c>
      <c r="C1541" s="141">
        <v>26937.48</v>
      </c>
      <c r="D1541" s="221">
        <v>200333.64</v>
      </c>
      <c r="E1541" s="141">
        <v>202299.98</v>
      </c>
      <c r="F1541" s="141">
        <v>199876.56</v>
      </c>
      <c r="G1541" s="141">
        <f>C1541+D1541-E1541</f>
        <v>24971.140000000014</v>
      </c>
      <c r="H1541" s="285"/>
      <c r="I1541" s="287"/>
      <c r="J1541" s="288"/>
    </row>
    <row r="1542" spans="1:10" ht="11.1" customHeight="1" x14ac:dyDescent="0.3">
      <c r="A1542" s="3"/>
      <c r="B1542" s="248"/>
      <c r="C1542" s="242"/>
      <c r="D1542" s="249"/>
      <c r="E1542" s="242"/>
      <c r="F1542" s="242"/>
      <c r="G1542" s="242"/>
      <c r="H1542" s="285"/>
      <c r="I1542" s="287"/>
      <c r="J1542" s="288"/>
    </row>
    <row r="1543" spans="1:10" ht="11.1" customHeight="1" x14ac:dyDescent="0.3">
      <c r="A1543" s="180"/>
      <c r="B1543" s="94" t="s">
        <v>74</v>
      </c>
      <c r="C1543" s="91">
        <f>C1541+C1539+C1537</f>
        <v>147678.60999999999</v>
      </c>
      <c r="D1543" s="91">
        <f>D1541+D1539+D1537</f>
        <v>1031405.6599999999</v>
      </c>
      <c r="E1543" s="91">
        <f>E1541+E1539+E1537</f>
        <v>1000071.8200000001</v>
      </c>
      <c r="F1543" s="91">
        <f>F1541+F1539+F1537</f>
        <v>1030591.62</v>
      </c>
      <c r="G1543" s="91">
        <f>G1541+G1539+G1537</f>
        <v>179012.45</v>
      </c>
      <c r="H1543" s="285"/>
      <c r="I1543" s="287"/>
      <c r="J1543" s="288"/>
    </row>
    <row r="1544" spans="1:10" ht="11.1" customHeight="1" x14ac:dyDescent="0.3">
      <c r="A1544" s="148"/>
      <c r="B1544" s="148"/>
      <c r="C1544" s="147"/>
      <c r="D1544" s="147"/>
      <c r="E1544" s="147"/>
      <c r="F1544" s="147"/>
      <c r="G1544" s="147"/>
      <c r="H1544" s="274"/>
    </row>
    <row r="1545" spans="1:10" ht="11.1" customHeight="1" x14ac:dyDescent="0.3">
      <c r="A1545" s="148"/>
      <c r="B1545" s="148"/>
      <c r="C1545" s="148"/>
      <c r="D1545" s="148"/>
      <c r="E1545" s="148"/>
      <c r="F1545" s="148"/>
      <c r="G1545" s="148"/>
      <c r="H1545" s="270"/>
    </row>
    <row r="1546" spans="1:10" ht="11.1" customHeight="1" x14ac:dyDescent="0.3">
      <c r="A1546" s="148"/>
      <c r="B1546" s="148"/>
      <c r="C1546" s="148"/>
      <c r="D1546" s="148"/>
      <c r="E1546" s="148"/>
      <c r="F1546" s="148"/>
      <c r="G1546" s="148"/>
      <c r="H1546" s="270"/>
    </row>
    <row r="1547" spans="1:10" ht="11.1" customHeight="1" x14ac:dyDescent="0.3">
      <c r="A1547" s="148"/>
      <c r="B1547" s="148"/>
      <c r="C1547" s="148"/>
      <c r="G1547" s="181"/>
      <c r="H1547" s="270"/>
    </row>
    <row r="1548" spans="1:10" ht="11.1" customHeight="1" x14ac:dyDescent="0.3">
      <c r="A1548" s="148"/>
      <c r="B1548" s="148"/>
      <c r="C1548" s="148"/>
      <c r="G1548" s="148"/>
      <c r="H1548" s="270"/>
    </row>
    <row r="1549" spans="1:10" ht="12.75" customHeight="1" x14ac:dyDescent="0.3">
      <c r="A1549" s="144"/>
      <c r="B1549" s="144"/>
      <c r="C1549" s="144"/>
      <c r="G1549" s="144"/>
      <c r="H1549" s="270"/>
    </row>
    <row r="1550" spans="1:10" ht="12.75" customHeight="1" x14ac:dyDescent="0.3">
      <c r="A1550" s="144"/>
      <c r="B1550" s="144"/>
      <c r="C1550" s="144"/>
      <c r="G1550" s="144"/>
      <c r="H1550" s="270"/>
    </row>
    <row r="1551" spans="1:10" ht="12.75" customHeight="1" x14ac:dyDescent="0.3">
      <c r="A1551" s="144"/>
      <c r="B1551" s="144"/>
      <c r="C1551" s="144"/>
      <c r="D1551" s="144"/>
      <c r="E1551" s="144"/>
      <c r="F1551" s="144"/>
      <c r="G1551" s="144"/>
      <c r="H1551" s="270"/>
    </row>
    <row r="1552" spans="1:10" ht="12.75" customHeight="1" x14ac:dyDescent="0.3">
      <c r="A1552" s="144"/>
      <c r="B1552" s="144"/>
      <c r="C1552" s="144"/>
      <c r="D1552" s="144"/>
      <c r="E1552" s="144"/>
      <c r="F1552" s="144"/>
      <c r="G1552" s="144"/>
      <c r="H1552" s="270"/>
    </row>
    <row r="1553" spans="1:8" ht="12.75" customHeight="1" x14ac:dyDescent="0.3">
      <c r="A1553" s="144"/>
      <c r="B1553" s="144"/>
      <c r="C1553" s="144"/>
      <c r="D1553" s="144"/>
      <c r="E1553" s="144"/>
      <c r="F1553" s="144"/>
      <c r="G1553" s="144"/>
      <c r="H1553" s="270"/>
    </row>
    <row r="1554" spans="1:8" ht="10.5" customHeight="1" x14ac:dyDescent="0.3">
      <c r="D1554" s="175">
        <f>D29+D84+D135+D186+D241+D294+D348+D398+D451+D504+D557+D613+D666+D718+D773+D831+D883+D938+D991+D1045+D1100+D1155+D1209+D1262+D1314+D1367+D1423+D1476+D1528+0</f>
        <v>43680788.770000011</v>
      </c>
      <c r="E1554" s="175">
        <f>E29+E84+E135+E186+E241+E294+E348+E398+E451+E504+E557+E613+E666+E718+E773+E831+E883+E938+E991+E1045+E1100+E1155+E1209+E1262+E1314+E1367+E1423+E1476+E1528+0</f>
        <v>43209422.239913635</v>
      </c>
      <c r="F1554" s="175">
        <f>F29+F84+F135+F186+F241+F294+F348+F398+F451+F504+F557+F613+F666+F718+F773+F831+F883+F938+F991+F1045+F1100+F1155+F1209+F1262+F1314+F1367+F1423+F1476+F1528+0</f>
        <v>42359844.351666681</v>
      </c>
    </row>
    <row r="1555" spans="1:8" x14ac:dyDescent="0.3">
      <c r="E1555" s="148"/>
      <c r="F1555" s="286">
        <f>F1554-E1554</f>
        <v>-849577.88824695349</v>
      </c>
    </row>
    <row r="1556" spans="1:8" x14ac:dyDescent="0.3">
      <c r="E1556" s="286"/>
      <c r="F1556" s="286"/>
    </row>
    <row r="1557" spans="1:8" x14ac:dyDescent="0.3">
      <c r="E1557" s="144"/>
    </row>
  </sheetData>
  <mergeCells count="615">
    <mergeCell ref="A1530:F1530"/>
    <mergeCell ref="B1510:E1510"/>
    <mergeCell ref="F1510:G1510"/>
    <mergeCell ref="B1512:E1512"/>
    <mergeCell ref="F1512:G1512"/>
    <mergeCell ref="B1513:E1513"/>
    <mergeCell ref="A1515:G1515"/>
    <mergeCell ref="F1513:G1513"/>
    <mergeCell ref="B1511:E1511"/>
    <mergeCell ref="F1511:G1511"/>
    <mergeCell ref="A1463:G1463"/>
    <mergeCell ref="F1458:G1458"/>
    <mergeCell ref="B1459:E1459"/>
    <mergeCell ref="F1459:G1459"/>
    <mergeCell ref="A1478:F1478"/>
    <mergeCell ref="B1508:E1508"/>
    <mergeCell ref="F1508:G1508"/>
    <mergeCell ref="B1509:E1509"/>
    <mergeCell ref="F1509:G1509"/>
    <mergeCell ref="A1505:G1505"/>
    <mergeCell ref="A1502:G1502"/>
    <mergeCell ref="A1503:G1503"/>
    <mergeCell ref="A1504:G1504"/>
    <mergeCell ref="B1506:G1506"/>
    <mergeCell ref="B1507:E1507"/>
    <mergeCell ref="F1507:G1507"/>
    <mergeCell ref="B1460:E1460"/>
    <mergeCell ref="F1460:G1460"/>
    <mergeCell ref="B1457:E1457"/>
    <mergeCell ref="F1457:G1457"/>
    <mergeCell ref="A1453:G1453"/>
    <mergeCell ref="B1454:G1454"/>
    <mergeCell ref="B1461:E1461"/>
    <mergeCell ref="F1461:G1461"/>
    <mergeCell ref="B1458:E1458"/>
    <mergeCell ref="B1403:E1403"/>
    <mergeCell ref="F1403:G1403"/>
    <mergeCell ref="B1455:E1455"/>
    <mergeCell ref="F1455:G1455"/>
    <mergeCell ref="B1456:E1456"/>
    <mergeCell ref="A1407:G1407"/>
    <mergeCell ref="A1425:F1425"/>
    <mergeCell ref="B1404:E1404"/>
    <mergeCell ref="F1404:G1404"/>
    <mergeCell ref="B1405:E1405"/>
    <mergeCell ref="F1405:G1405"/>
    <mergeCell ref="A1450:G1450"/>
    <mergeCell ref="A1451:G1451"/>
    <mergeCell ref="A1452:G1452"/>
    <mergeCell ref="F1456:G1456"/>
    <mergeCell ref="B1399:E1399"/>
    <mergeCell ref="F1399:G1399"/>
    <mergeCell ref="A1354:G1354"/>
    <mergeCell ref="A1369:F1369"/>
    <mergeCell ref="A1397:G1397"/>
    <mergeCell ref="A1396:G1396"/>
    <mergeCell ref="F1401:G1401"/>
    <mergeCell ref="B1402:E1402"/>
    <mergeCell ref="F1402:G1402"/>
    <mergeCell ref="A1394:G1394"/>
    <mergeCell ref="A1395:G1395"/>
    <mergeCell ref="B1398:G1398"/>
    <mergeCell ref="B1400:E1400"/>
    <mergeCell ref="F1400:G1400"/>
    <mergeCell ref="B1401:E1401"/>
    <mergeCell ref="B1350:E1350"/>
    <mergeCell ref="F1350:G1350"/>
    <mergeCell ref="B1348:E1348"/>
    <mergeCell ref="F1348:G1348"/>
    <mergeCell ref="B1351:E1351"/>
    <mergeCell ref="F1351:G1351"/>
    <mergeCell ref="B1349:E1349"/>
    <mergeCell ref="F1349:G1349"/>
    <mergeCell ref="B1352:E1352"/>
    <mergeCell ref="F1352:G1352"/>
    <mergeCell ref="B1299:E1299"/>
    <mergeCell ref="F1299:G1299"/>
    <mergeCell ref="F1296:G1296"/>
    <mergeCell ref="B1297:E1297"/>
    <mergeCell ref="B1296:E1296"/>
    <mergeCell ref="F1297:G1297"/>
    <mergeCell ref="B1347:E1347"/>
    <mergeCell ref="F1347:G1347"/>
    <mergeCell ref="A1301:G1301"/>
    <mergeCell ref="A1341:G1341"/>
    <mergeCell ref="A1344:G1344"/>
    <mergeCell ref="B1345:G1345"/>
    <mergeCell ref="B1346:E1346"/>
    <mergeCell ref="F1346:G1346"/>
    <mergeCell ref="A1342:G1342"/>
    <mergeCell ref="A1343:G1343"/>
    <mergeCell ref="A1316:F1316"/>
    <mergeCell ref="B1244:E1244"/>
    <mergeCell ref="F1244:G1244"/>
    <mergeCell ref="B1245:E1245"/>
    <mergeCell ref="F1245:G1245"/>
    <mergeCell ref="B1247:E1247"/>
    <mergeCell ref="F1247:G1247"/>
    <mergeCell ref="B1246:E1246"/>
    <mergeCell ref="F1246:G1246"/>
    <mergeCell ref="B1298:E1298"/>
    <mergeCell ref="F1298:G1298"/>
    <mergeCell ref="B1292:G1292"/>
    <mergeCell ref="B1293:E1293"/>
    <mergeCell ref="F1293:G1293"/>
    <mergeCell ref="B1294:E1294"/>
    <mergeCell ref="F1294:G1294"/>
    <mergeCell ref="B1295:E1295"/>
    <mergeCell ref="F1295:G1295"/>
    <mergeCell ref="A1291:G1291"/>
    <mergeCell ref="A1249:G1249"/>
    <mergeCell ref="A1264:F1264"/>
    <mergeCell ref="A1289:G1289"/>
    <mergeCell ref="A1290:G1290"/>
    <mergeCell ref="A1288:G1288"/>
    <mergeCell ref="B1243:E1243"/>
    <mergeCell ref="F1243:G1243"/>
    <mergeCell ref="A1193:G1193"/>
    <mergeCell ref="A1211:F1211"/>
    <mergeCell ref="B1190:E1190"/>
    <mergeCell ref="F1190:G1190"/>
    <mergeCell ref="B1191:E1191"/>
    <mergeCell ref="F1191:G1191"/>
    <mergeCell ref="A1238:G1238"/>
    <mergeCell ref="A1239:G1239"/>
    <mergeCell ref="B1240:G1240"/>
    <mergeCell ref="B1241:E1241"/>
    <mergeCell ref="F1241:G1241"/>
    <mergeCell ref="B1242:E1242"/>
    <mergeCell ref="F1242:G1242"/>
    <mergeCell ref="A1237:G1237"/>
    <mergeCell ref="B1082:E1082"/>
    <mergeCell ref="F1082:G1082"/>
    <mergeCell ref="B1083:E1083"/>
    <mergeCell ref="F1083:G1083"/>
    <mergeCell ref="A1085:G1085"/>
    <mergeCell ref="A1102:F1102"/>
    <mergeCell ref="B1138:E1138"/>
    <mergeCell ref="F1138:G1138"/>
    <mergeCell ref="B1189:E1189"/>
    <mergeCell ref="F1189:G1189"/>
    <mergeCell ref="B1186:E1186"/>
    <mergeCell ref="F1186:G1186"/>
    <mergeCell ref="B1187:E1187"/>
    <mergeCell ref="F1187:G1187"/>
    <mergeCell ref="B1188:E1188"/>
    <mergeCell ref="A1183:G1183"/>
    <mergeCell ref="B1184:G1184"/>
    <mergeCell ref="B1185:E1185"/>
    <mergeCell ref="F1185:G1185"/>
    <mergeCell ref="B1137:E1137"/>
    <mergeCell ref="F1137:G1137"/>
    <mergeCell ref="A1140:G1140"/>
    <mergeCell ref="A1157:F1157"/>
    <mergeCell ref="A1180:G1180"/>
    <mergeCell ref="A1181:G1181"/>
    <mergeCell ref="A1182:G1182"/>
    <mergeCell ref="A1030:G1030"/>
    <mergeCell ref="A1047:F1047"/>
    <mergeCell ref="B1022:E1022"/>
    <mergeCell ref="F1022:G1022"/>
    <mergeCell ref="F1081:G1081"/>
    <mergeCell ref="B1078:E1078"/>
    <mergeCell ref="F1078:G1078"/>
    <mergeCell ref="B1079:E1079"/>
    <mergeCell ref="F1079:G1079"/>
    <mergeCell ref="B1080:E1080"/>
    <mergeCell ref="F1080:G1080"/>
    <mergeCell ref="A1072:G1072"/>
    <mergeCell ref="B1025:E1025"/>
    <mergeCell ref="F1025:G1025"/>
    <mergeCell ref="B1028:E1028"/>
    <mergeCell ref="F1028:G1028"/>
    <mergeCell ref="B1024:E1024"/>
    <mergeCell ref="F1024:G1024"/>
    <mergeCell ref="B1026:E1026"/>
    <mergeCell ref="F1026:G1026"/>
    <mergeCell ref="B1027:E1027"/>
    <mergeCell ref="F1027:G1027"/>
    <mergeCell ref="B1023:E1023"/>
    <mergeCell ref="F1023:G1023"/>
    <mergeCell ref="A940:F940"/>
    <mergeCell ref="A978:G978"/>
    <mergeCell ref="A993:F993"/>
    <mergeCell ref="B969:G969"/>
    <mergeCell ref="B970:E970"/>
    <mergeCell ref="F970:G970"/>
    <mergeCell ref="A1020:G1020"/>
    <mergeCell ref="B1021:G1021"/>
    <mergeCell ref="B975:E975"/>
    <mergeCell ref="F975:G975"/>
    <mergeCell ref="B971:E971"/>
    <mergeCell ref="F971:G971"/>
    <mergeCell ref="B973:E973"/>
    <mergeCell ref="F973:G973"/>
    <mergeCell ref="B972:E972"/>
    <mergeCell ref="F972:G972"/>
    <mergeCell ref="A968:G968"/>
    <mergeCell ref="A1019:G1019"/>
    <mergeCell ref="A923:G923"/>
    <mergeCell ref="A965:G965"/>
    <mergeCell ref="A966:G966"/>
    <mergeCell ref="A967:G967"/>
    <mergeCell ref="F810:G810"/>
    <mergeCell ref="A855:G855"/>
    <mergeCell ref="A856:G856"/>
    <mergeCell ref="A857:G857"/>
    <mergeCell ref="F919:G919"/>
    <mergeCell ref="B864:E864"/>
    <mergeCell ref="F864:G864"/>
    <mergeCell ref="F915:G915"/>
    <mergeCell ref="A868:G868"/>
    <mergeCell ref="A885:F885"/>
    <mergeCell ref="A910:G910"/>
    <mergeCell ref="A911:G911"/>
    <mergeCell ref="A912:G912"/>
    <mergeCell ref="F865:G865"/>
    <mergeCell ref="B917:E917"/>
    <mergeCell ref="F917:G917"/>
    <mergeCell ref="A913:G913"/>
    <mergeCell ref="B914:G914"/>
    <mergeCell ref="B915:E915"/>
    <mergeCell ref="B919:E919"/>
    <mergeCell ref="B918:E918"/>
    <mergeCell ref="F918:G918"/>
    <mergeCell ref="F753:G753"/>
    <mergeCell ref="A833:F833"/>
    <mergeCell ref="B808:E808"/>
    <mergeCell ref="F808:G808"/>
    <mergeCell ref="B809:E809"/>
    <mergeCell ref="F809:G809"/>
    <mergeCell ref="B812:E812"/>
    <mergeCell ref="B811:E811"/>
    <mergeCell ref="F811:G811"/>
    <mergeCell ref="B755:E755"/>
    <mergeCell ref="A803:G803"/>
    <mergeCell ref="A804:G804"/>
    <mergeCell ref="F755:G755"/>
    <mergeCell ref="B756:E756"/>
    <mergeCell ref="F756:G756"/>
    <mergeCell ref="A802:G802"/>
    <mergeCell ref="A758:G758"/>
    <mergeCell ref="A775:F775"/>
    <mergeCell ref="F812:G812"/>
    <mergeCell ref="B806:G806"/>
    <mergeCell ref="B807:E807"/>
    <mergeCell ref="F807:G807"/>
    <mergeCell ref="A815:G815"/>
    <mergeCell ref="A858:G858"/>
    <mergeCell ref="B813:E813"/>
    <mergeCell ref="F813:G813"/>
    <mergeCell ref="B702:E702"/>
    <mergeCell ref="F702:G702"/>
    <mergeCell ref="A748:G748"/>
    <mergeCell ref="B749:G749"/>
    <mergeCell ref="B750:E750"/>
    <mergeCell ref="F750:G750"/>
    <mergeCell ref="B754:E754"/>
    <mergeCell ref="F754:G754"/>
    <mergeCell ref="B751:E751"/>
    <mergeCell ref="F751:G751"/>
    <mergeCell ref="B752:E752"/>
    <mergeCell ref="F752:G752"/>
    <mergeCell ref="B753:E753"/>
    <mergeCell ref="A805:G805"/>
    <mergeCell ref="B810:E810"/>
    <mergeCell ref="F703:G703"/>
    <mergeCell ref="B650:E650"/>
    <mergeCell ref="F650:G650"/>
    <mergeCell ref="B651:E651"/>
    <mergeCell ref="F651:G651"/>
    <mergeCell ref="A163:G163"/>
    <mergeCell ref="B166:E166"/>
    <mergeCell ref="F166:G166"/>
    <mergeCell ref="B275:E275"/>
    <mergeCell ref="F275:G275"/>
    <mergeCell ref="A320:G320"/>
    <mergeCell ref="A319:G319"/>
    <mergeCell ref="B274:E274"/>
    <mergeCell ref="A597:G597"/>
    <mergeCell ref="A615:F615"/>
    <mergeCell ref="B276:E276"/>
    <mergeCell ref="F276:G276"/>
    <mergeCell ref="B277:E277"/>
    <mergeCell ref="A279:G279"/>
    <mergeCell ref="A296:F296"/>
    <mergeCell ref="A321:G321"/>
    <mergeCell ref="B594:E594"/>
    <mergeCell ref="F594:G594"/>
    <mergeCell ref="B595:E595"/>
    <mergeCell ref="F277:G277"/>
    <mergeCell ref="B66:E66"/>
    <mergeCell ref="F66:G66"/>
    <mergeCell ref="A68:G68"/>
    <mergeCell ref="A86:F86"/>
    <mergeCell ref="A67:G67"/>
    <mergeCell ref="B118:E118"/>
    <mergeCell ref="F118:G118"/>
    <mergeCell ref="F117:G117"/>
    <mergeCell ref="B116:E116"/>
    <mergeCell ref="F116:G116"/>
    <mergeCell ref="A110:G110"/>
    <mergeCell ref="B114:E114"/>
    <mergeCell ref="F114:G114"/>
    <mergeCell ref="A108:G108"/>
    <mergeCell ref="A107:G107"/>
    <mergeCell ref="F115:G115"/>
    <mergeCell ref="A109:G109"/>
    <mergeCell ref="F113:G113"/>
    <mergeCell ref="B12:E12"/>
    <mergeCell ref="F12:G12"/>
    <mergeCell ref="A14:G14"/>
    <mergeCell ref="B61:E61"/>
    <mergeCell ref="B63:E63"/>
    <mergeCell ref="F63:G63"/>
    <mergeCell ref="B65:E65"/>
    <mergeCell ref="A13:G13"/>
    <mergeCell ref="B60:E60"/>
    <mergeCell ref="A31:F31"/>
    <mergeCell ref="A56:G56"/>
    <mergeCell ref="A57:G57"/>
    <mergeCell ref="A58:G58"/>
    <mergeCell ref="B59:G59"/>
    <mergeCell ref="A55:G55"/>
    <mergeCell ref="B64:E64"/>
    <mergeCell ref="F61:G61"/>
    <mergeCell ref="B62:E62"/>
    <mergeCell ref="F60:G60"/>
    <mergeCell ref="F64:G64"/>
    <mergeCell ref="F65:G65"/>
    <mergeCell ref="F62:G62"/>
    <mergeCell ref="A1:G1"/>
    <mergeCell ref="A2:G2"/>
    <mergeCell ref="A3:G3"/>
    <mergeCell ref="A4:G4"/>
    <mergeCell ref="B11:E11"/>
    <mergeCell ref="F11:G11"/>
    <mergeCell ref="B9:E9"/>
    <mergeCell ref="F9:G9"/>
    <mergeCell ref="B6:E6"/>
    <mergeCell ref="F6:G6"/>
    <mergeCell ref="B7:E7"/>
    <mergeCell ref="F7:G7"/>
    <mergeCell ref="B8:E8"/>
    <mergeCell ref="F8:G8"/>
    <mergeCell ref="B10:E10"/>
    <mergeCell ref="F10:G10"/>
    <mergeCell ref="A5:G5"/>
    <mergeCell ref="B169:E169"/>
    <mergeCell ref="F169:G169"/>
    <mergeCell ref="B164:G164"/>
    <mergeCell ref="B165:E165"/>
    <mergeCell ref="F165:G165"/>
    <mergeCell ref="B167:E167"/>
    <mergeCell ref="F167:G167"/>
    <mergeCell ref="F168:G168"/>
    <mergeCell ref="B111:G111"/>
    <mergeCell ref="B112:E112"/>
    <mergeCell ref="B115:E115"/>
    <mergeCell ref="F112:G112"/>
    <mergeCell ref="B113:E113"/>
    <mergeCell ref="A161:G161"/>
    <mergeCell ref="B168:E168"/>
    <mergeCell ref="B117:E117"/>
    <mergeCell ref="A120:G120"/>
    <mergeCell ref="A137:F137"/>
    <mergeCell ref="A162:G162"/>
    <mergeCell ref="A119:G119"/>
    <mergeCell ref="A160:G160"/>
    <mergeCell ref="A216:G216"/>
    <mergeCell ref="B170:E170"/>
    <mergeCell ref="F170:G170"/>
    <mergeCell ref="B171:E171"/>
    <mergeCell ref="F171:G171"/>
    <mergeCell ref="A173:G173"/>
    <mergeCell ref="A188:F188"/>
    <mergeCell ref="A213:G213"/>
    <mergeCell ref="A215:G215"/>
    <mergeCell ref="A214:G214"/>
    <mergeCell ref="B222:E222"/>
    <mergeCell ref="F222:G222"/>
    <mergeCell ref="B223:E223"/>
    <mergeCell ref="F223:G223"/>
    <mergeCell ref="B224:E224"/>
    <mergeCell ref="A225:G225"/>
    <mergeCell ref="B217:G217"/>
    <mergeCell ref="B218:E218"/>
    <mergeCell ref="F218:G218"/>
    <mergeCell ref="B219:E219"/>
    <mergeCell ref="F219:G219"/>
    <mergeCell ref="B220:E220"/>
    <mergeCell ref="F220:G220"/>
    <mergeCell ref="B221:E221"/>
    <mergeCell ref="F221:G221"/>
    <mergeCell ref="F272:G272"/>
    <mergeCell ref="F273:G273"/>
    <mergeCell ref="F274:G274"/>
    <mergeCell ref="B270:G270"/>
    <mergeCell ref="B271:E271"/>
    <mergeCell ref="F271:G271"/>
    <mergeCell ref="B272:E272"/>
    <mergeCell ref="A269:G269"/>
    <mergeCell ref="F224:G224"/>
    <mergeCell ref="B273:E273"/>
    <mergeCell ref="A268:G268"/>
    <mergeCell ref="A267:G267"/>
    <mergeCell ref="A266:G266"/>
    <mergeCell ref="A243:F243"/>
    <mergeCell ref="A226:G226"/>
    <mergeCell ref="B329:E329"/>
    <mergeCell ref="F329:G329"/>
    <mergeCell ref="B330:E330"/>
    <mergeCell ref="F330:G330"/>
    <mergeCell ref="A332:G332"/>
    <mergeCell ref="A350:F350"/>
    <mergeCell ref="A372:G372"/>
    <mergeCell ref="B376:G376"/>
    <mergeCell ref="A322:G322"/>
    <mergeCell ref="F326:G326"/>
    <mergeCell ref="B327:E327"/>
    <mergeCell ref="F327:G327"/>
    <mergeCell ref="B328:E328"/>
    <mergeCell ref="F328:G328"/>
    <mergeCell ref="B323:G323"/>
    <mergeCell ref="B324:E324"/>
    <mergeCell ref="F324:G324"/>
    <mergeCell ref="B325:E325"/>
    <mergeCell ref="F325:G325"/>
    <mergeCell ref="B326:E326"/>
    <mergeCell ref="B377:E377"/>
    <mergeCell ref="F377:G377"/>
    <mergeCell ref="B378:E378"/>
    <mergeCell ref="F378:G378"/>
    <mergeCell ref="A373:G373"/>
    <mergeCell ref="A374:G374"/>
    <mergeCell ref="A385:G385"/>
    <mergeCell ref="A400:F400"/>
    <mergeCell ref="B381:E381"/>
    <mergeCell ref="F381:G381"/>
    <mergeCell ref="B382:E382"/>
    <mergeCell ref="F382:G382"/>
    <mergeCell ref="B383:E383"/>
    <mergeCell ref="A375:G375"/>
    <mergeCell ref="A426:G426"/>
    <mergeCell ref="A427:G427"/>
    <mergeCell ref="B429:G429"/>
    <mergeCell ref="B430:E430"/>
    <mergeCell ref="F430:G430"/>
    <mergeCell ref="F383:G383"/>
    <mergeCell ref="B379:E379"/>
    <mergeCell ref="F379:G379"/>
    <mergeCell ref="B380:E380"/>
    <mergeCell ref="F380:G380"/>
    <mergeCell ref="A425:G425"/>
    <mergeCell ref="B484:E484"/>
    <mergeCell ref="F484:G484"/>
    <mergeCell ref="B482:G482"/>
    <mergeCell ref="B483:E483"/>
    <mergeCell ref="F483:G483"/>
    <mergeCell ref="B431:E431"/>
    <mergeCell ref="F431:G431"/>
    <mergeCell ref="B432:E432"/>
    <mergeCell ref="F432:G432"/>
    <mergeCell ref="F433:G433"/>
    <mergeCell ref="A481:G481"/>
    <mergeCell ref="B435:E435"/>
    <mergeCell ref="F435:G435"/>
    <mergeCell ref="B436:E436"/>
    <mergeCell ref="F436:G436"/>
    <mergeCell ref="A438:G438"/>
    <mergeCell ref="A453:F453"/>
    <mergeCell ref="A480:G480"/>
    <mergeCell ref="A478:G478"/>
    <mergeCell ref="A479:G479"/>
    <mergeCell ref="B434:E434"/>
    <mergeCell ref="F434:G434"/>
    <mergeCell ref="A278:G278"/>
    <mergeCell ref="A331:G331"/>
    <mergeCell ref="A491:G491"/>
    <mergeCell ref="F538:G538"/>
    <mergeCell ref="A506:F506"/>
    <mergeCell ref="B540:E540"/>
    <mergeCell ref="F540:G540"/>
    <mergeCell ref="F485:G485"/>
    <mergeCell ref="B486:E486"/>
    <mergeCell ref="F486:G486"/>
    <mergeCell ref="B489:E489"/>
    <mergeCell ref="F489:G489"/>
    <mergeCell ref="B539:E539"/>
    <mergeCell ref="B535:G535"/>
    <mergeCell ref="B536:E536"/>
    <mergeCell ref="A531:G531"/>
    <mergeCell ref="A532:G532"/>
    <mergeCell ref="A533:G533"/>
    <mergeCell ref="A534:G534"/>
    <mergeCell ref="B433:E433"/>
    <mergeCell ref="A428:G428"/>
    <mergeCell ref="B487:E487"/>
    <mergeCell ref="F487:G487"/>
    <mergeCell ref="B488:E488"/>
    <mergeCell ref="B485:E485"/>
    <mergeCell ref="A747:G747"/>
    <mergeCell ref="A640:G640"/>
    <mergeCell ref="A641:G641"/>
    <mergeCell ref="A642:G642"/>
    <mergeCell ref="B649:E649"/>
    <mergeCell ref="F649:G649"/>
    <mergeCell ref="B646:E646"/>
    <mergeCell ref="F646:G646"/>
    <mergeCell ref="B647:E647"/>
    <mergeCell ref="F536:G536"/>
    <mergeCell ref="B537:E537"/>
    <mergeCell ref="F537:G537"/>
    <mergeCell ref="F539:G539"/>
    <mergeCell ref="B538:E538"/>
    <mergeCell ref="A559:F559"/>
    <mergeCell ref="B541:E541"/>
    <mergeCell ref="F541:G541"/>
    <mergeCell ref="B542:E542"/>
    <mergeCell ref="F542:G542"/>
    <mergeCell ref="A544:G544"/>
    <mergeCell ref="F488:G488"/>
    <mergeCell ref="B591:E591"/>
    <mergeCell ref="F591:G591"/>
    <mergeCell ref="A584:G584"/>
    <mergeCell ref="A585:G585"/>
    <mergeCell ref="A586:G586"/>
    <mergeCell ref="A692:G692"/>
    <mergeCell ref="A643:G643"/>
    <mergeCell ref="B644:G644"/>
    <mergeCell ref="B645:E645"/>
    <mergeCell ref="F645:G645"/>
    <mergeCell ref="A653:G653"/>
    <mergeCell ref="F647:G647"/>
    <mergeCell ref="A587:G587"/>
    <mergeCell ref="B588:G588"/>
    <mergeCell ref="B589:E589"/>
    <mergeCell ref="F589:G589"/>
    <mergeCell ref="B590:E590"/>
    <mergeCell ref="F590:G590"/>
    <mergeCell ref="F595:G595"/>
    <mergeCell ref="B648:E648"/>
    <mergeCell ref="F648:G648"/>
    <mergeCell ref="A668:F668"/>
    <mergeCell ref="B592:E592"/>
    <mergeCell ref="F592:G592"/>
    <mergeCell ref="B593:E593"/>
    <mergeCell ref="F593:G593"/>
    <mergeCell ref="F697:G697"/>
    <mergeCell ref="A693:G693"/>
    <mergeCell ref="A694:G694"/>
    <mergeCell ref="A745:G745"/>
    <mergeCell ref="A746:G746"/>
    <mergeCell ref="A705:G705"/>
    <mergeCell ref="A720:F720"/>
    <mergeCell ref="A695:G695"/>
    <mergeCell ref="B696:G696"/>
    <mergeCell ref="B697:E697"/>
    <mergeCell ref="B698:E698"/>
    <mergeCell ref="F698:G698"/>
    <mergeCell ref="B703:E703"/>
    <mergeCell ref="B699:E699"/>
    <mergeCell ref="F699:G699"/>
    <mergeCell ref="B700:E700"/>
    <mergeCell ref="F700:G700"/>
    <mergeCell ref="B701:E701"/>
    <mergeCell ref="F701:G701"/>
    <mergeCell ref="A1073:G1073"/>
    <mergeCell ref="A1074:G1074"/>
    <mergeCell ref="A1127:G1127"/>
    <mergeCell ref="A1128:G1128"/>
    <mergeCell ref="A1129:G1129"/>
    <mergeCell ref="A1236:G1236"/>
    <mergeCell ref="A1130:G1130"/>
    <mergeCell ref="B1131:G1131"/>
    <mergeCell ref="B1134:E1134"/>
    <mergeCell ref="F1134:G1134"/>
    <mergeCell ref="A1075:G1075"/>
    <mergeCell ref="B1076:G1076"/>
    <mergeCell ref="B1077:E1077"/>
    <mergeCell ref="F1077:G1077"/>
    <mergeCell ref="B1135:E1135"/>
    <mergeCell ref="F1135:G1135"/>
    <mergeCell ref="B1136:E1136"/>
    <mergeCell ref="F1136:G1136"/>
    <mergeCell ref="B1132:E1132"/>
    <mergeCell ref="F1132:G1132"/>
    <mergeCell ref="B1133:E1133"/>
    <mergeCell ref="F1133:G1133"/>
    <mergeCell ref="B1081:E1081"/>
    <mergeCell ref="F1188:G1188"/>
    <mergeCell ref="B859:G859"/>
    <mergeCell ref="B860:E860"/>
    <mergeCell ref="F860:G860"/>
    <mergeCell ref="B863:E863"/>
    <mergeCell ref="F863:G863"/>
    <mergeCell ref="A1017:G1017"/>
    <mergeCell ref="A1018:G1018"/>
    <mergeCell ref="B861:E861"/>
    <mergeCell ref="F861:G861"/>
    <mergeCell ref="B862:E862"/>
    <mergeCell ref="F862:G862"/>
    <mergeCell ref="B865:E865"/>
    <mergeCell ref="B866:E866"/>
    <mergeCell ref="F866:G866"/>
    <mergeCell ref="B916:E916"/>
    <mergeCell ref="F916:G916"/>
    <mergeCell ref="B920:E920"/>
    <mergeCell ref="F920:G920"/>
    <mergeCell ref="B976:E976"/>
    <mergeCell ref="F976:G976"/>
    <mergeCell ref="B921:E921"/>
    <mergeCell ref="F921:G921"/>
    <mergeCell ref="B974:E974"/>
    <mergeCell ref="F974:G974"/>
  </mergeCells>
  <phoneticPr fontId="8" type="noConversion"/>
  <pageMargins left="0.59055118110236227" right="0.59055118110236227" top="0" bottom="0" header="0.31496062992125984" footer="0.31496062992125984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Ангелина Делидова</cp:lastModifiedBy>
  <cp:lastPrinted>2018-06-19T09:33:46Z</cp:lastPrinted>
  <dcterms:created xsi:type="dcterms:W3CDTF">2013-09-18T05:47:53Z</dcterms:created>
  <dcterms:modified xsi:type="dcterms:W3CDTF">2021-09-16T09:22:20Z</dcterms:modified>
</cp:coreProperties>
</file>